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12\OCIFS\CHILDFAM\Data\Topical PreK Data\Student Counts &amp; Enrollment\Public Versions for Website\"/>
    </mc:Choice>
  </mc:AlternateContent>
  <xr:revisionPtr revIDLastSave="0" documentId="13_ncr:1_{1628F468-B4D5-40D7-B58F-67685F71BD96}" xr6:coauthVersionLast="47" xr6:coauthVersionMax="47" xr10:uidLastSave="{00000000-0000-0000-0000-000000000000}"/>
  <bookViews>
    <workbookView xWindow="-110" yWindow="-110" windowWidth="19420" windowHeight="10420" tabRatio="898" activeTab="1" xr2:uid="{00000000-000D-0000-FFFF-FFFF00000000}"/>
  </bookViews>
  <sheets>
    <sheet name="PreK Proxy - Sept. 2024" sheetId="21" r:id="rId1"/>
    <sheet name="2023-24 PreK Served" sheetId="1" r:id="rId2"/>
    <sheet name="PreK Regions 2023-24" sheetId="2" r:id="rId3"/>
    <sheet name="PreK Served by Provider Type" sheetId="10" r:id="rId4"/>
  </sheets>
  <definedNames>
    <definedName name="_23_24_SUFDPK_Budgets">#REF!</definedName>
    <definedName name="_xlnm._FilterDatabase" localSheetId="1" hidden="1">'2023-24 PreK Served'!$A$3:$AK$677</definedName>
    <definedName name="_xlnm._FilterDatabase" localSheetId="3" hidden="1">'PreK Served by Provider Type'!#REF!</definedName>
    <definedName name="Allocations" localSheetId="3">#REF!</definedName>
    <definedName name="Allocations">#REF!</definedName>
    <definedName name="BEDSDayBEDS">#REF!</definedName>
    <definedName name="BEDSDayData">#REF!</definedName>
    <definedName name="BEDSDayItem">#REF!</definedName>
    <definedName name="Calculator" localSheetId="3">#REF!</definedName>
    <definedName name="Calculator">#REF!</definedName>
    <definedName name="Conversion_Slots">#REF!</definedName>
    <definedName name="CurrentBEDSBEDS">#REF!</definedName>
    <definedName name="CurrentBEDSData">#REF!</definedName>
    <definedName name="CurrentBEDSItem">#REF!</definedName>
    <definedName name="Expansion_Grant_21_22_Awardees" localSheetId="3">#REF!</definedName>
    <definedName name="Expansion_Grant_21_22_Awardees">#REF!</definedName>
    <definedName name="ExtractByIRS">#REF!</definedName>
    <definedName name="ExtractIRS">#REF!</definedName>
    <definedName name="Final_SIRS_Counts_20_21" localSheetId="3">#REF!</definedName>
    <definedName name="Final_SIRS_Counts_20_21">#REF!</definedName>
    <definedName name="Half_Day_Rates" localSheetId="3">#REF!</definedName>
    <definedName name="Half_Day_Rates">#REF!</definedName>
    <definedName name="NewTab" localSheetId="3">#REF!</definedName>
    <definedName name="NewTab">#REF!</definedName>
    <definedName name="Per_Pupil_Gaps" localSheetId="3">#REF!</definedName>
    <definedName name="Per_Pupil_Gaps">#REF!</definedName>
    <definedName name="qry13a_CrosstabPreKPupilsServed_3yr" localSheetId="3">#REF!</definedName>
    <definedName name="qry13a_CrosstabPreKPupilsServed_3yr">#REF!</definedName>
    <definedName name="qry13b_CrosstabPreKPupilsServed_4yr" localSheetId="3">#REF!</definedName>
    <definedName name="qry13b_CrosstabPreKPupilsServed_4yr">#REF!</definedName>
    <definedName name="Rates_by_Sean_G" localSheetId="3">#REF!</definedName>
    <definedName name="Rates_by_Sean_G">#REF!</definedName>
    <definedName name="SA_Item1b_e_Annual_UPK_PKSnapEOY">#REF!</definedName>
    <definedName name="SA_Item1b_e_Annual_UPK_PKSnapEOY_final" localSheetId="3">#REF!</definedName>
    <definedName name="SA_Item1b_e_Annual_UPK_PKSnapEOY_final">#REF!</definedName>
    <definedName name="Sean_G_Rates_List" localSheetId="3">#REF!</definedName>
    <definedName name="Sean_G_Rates_List">#REF!</definedName>
    <definedName name="UPK_Allocations_DOB_Approved" localSheetId="3">#REF!</definedName>
    <definedName name="UPK_Allocations_DOB_Approved">#REF!</definedName>
    <definedName name="UPK_Expansion_Grant_21_22">#REF!</definedName>
    <definedName name="VerificationReport4s" localSheetId="3">#REF!</definedName>
    <definedName name="VerificationReport4s">#REF!</definedName>
    <definedName name="VerificationReports" localSheetId="3">#REF!</definedName>
    <definedName name="VerificationReports">#REF!</definedName>
    <definedName name="VerificationReports4s" localSheetId="3">#REF!</definedName>
    <definedName name="VerificationReports4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76" i="1" l="1"/>
  <c r="AI676" i="1"/>
  <c r="AH676" i="1"/>
  <c r="I5" i="10" l="1"/>
  <c r="B18" i="10" s="1"/>
  <c r="I2" i="10"/>
  <c r="B15" i="10" s="1"/>
  <c r="I12" i="10"/>
  <c r="I8" i="10"/>
  <c r="I4" i="10"/>
  <c r="B16" i="10" s="1"/>
  <c r="I10" i="10"/>
  <c r="I6" i="10"/>
  <c r="I3" i="10"/>
  <c r="I7" i="10"/>
  <c r="I9" i="10"/>
  <c r="B17" i="10" l="1"/>
  <c r="AJ676" i="1"/>
  <c r="AJ675" i="1"/>
  <c r="AJ674" i="1"/>
  <c r="AJ673" i="1"/>
  <c r="AJ672" i="1"/>
  <c r="AJ671" i="1"/>
  <c r="AJ670" i="1"/>
  <c r="AJ669" i="1"/>
  <c r="AJ668" i="1"/>
  <c r="AJ667" i="1"/>
  <c r="AJ666" i="1"/>
  <c r="AJ665" i="1"/>
  <c r="AJ664" i="1"/>
  <c r="AJ663" i="1"/>
  <c r="AJ662" i="1"/>
  <c r="AJ661" i="1"/>
  <c r="AJ660" i="1"/>
  <c r="AJ659" i="1"/>
  <c r="AJ658" i="1"/>
  <c r="AJ657" i="1"/>
  <c r="AJ656" i="1"/>
  <c r="AJ655" i="1"/>
  <c r="AJ654" i="1"/>
  <c r="AJ653" i="1"/>
  <c r="AJ652" i="1"/>
  <c r="AJ651" i="1"/>
  <c r="AJ650" i="1"/>
  <c r="AJ649" i="1"/>
  <c r="AJ648" i="1"/>
  <c r="AJ647" i="1"/>
  <c r="AJ646" i="1"/>
  <c r="AJ645" i="1"/>
  <c r="AJ644" i="1"/>
  <c r="AJ643" i="1"/>
  <c r="AJ642" i="1"/>
  <c r="AJ641" i="1"/>
  <c r="AJ640" i="1"/>
  <c r="AJ639" i="1"/>
  <c r="AJ638" i="1"/>
  <c r="AJ637" i="1"/>
  <c r="AJ636" i="1"/>
  <c r="AJ635" i="1"/>
  <c r="AJ634" i="1"/>
  <c r="AJ633" i="1"/>
  <c r="AJ632" i="1"/>
  <c r="AJ631" i="1"/>
  <c r="AJ630" i="1"/>
  <c r="AJ629" i="1"/>
  <c r="AJ628" i="1"/>
  <c r="AJ627" i="1"/>
  <c r="AJ626" i="1"/>
  <c r="AJ625" i="1"/>
  <c r="AJ624" i="1"/>
  <c r="AJ623" i="1"/>
  <c r="AJ622" i="1"/>
  <c r="AJ621" i="1"/>
  <c r="AJ620" i="1"/>
  <c r="AJ619" i="1"/>
  <c r="AJ618" i="1"/>
  <c r="AJ617" i="1"/>
  <c r="AJ616" i="1"/>
  <c r="AJ615" i="1"/>
  <c r="AJ614" i="1"/>
  <c r="AJ613" i="1"/>
  <c r="AJ612" i="1"/>
  <c r="AJ611" i="1"/>
  <c r="AJ610" i="1"/>
  <c r="AJ609" i="1"/>
  <c r="AJ608" i="1"/>
  <c r="AJ607" i="1"/>
  <c r="AJ606" i="1"/>
  <c r="AJ605" i="1"/>
  <c r="AJ604" i="1"/>
  <c r="AJ603" i="1"/>
  <c r="AJ602" i="1"/>
  <c r="AJ601" i="1"/>
  <c r="AJ600" i="1"/>
  <c r="AJ599" i="1"/>
  <c r="AJ598" i="1"/>
  <c r="AJ597" i="1"/>
  <c r="AJ596" i="1"/>
  <c r="AJ595" i="1"/>
  <c r="AJ594" i="1"/>
  <c r="AJ593" i="1"/>
  <c r="AJ592" i="1"/>
  <c r="AJ591" i="1"/>
  <c r="AJ590" i="1"/>
  <c r="AJ589" i="1"/>
  <c r="AJ588" i="1"/>
  <c r="AJ587" i="1"/>
  <c r="AJ586" i="1"/>
  <c r="AJ585" i="1"/>
  <c r="AJ584" i="1"/>
  <c r="AJ583" i="1"/>
  <c r="AJ582" i="1"/>
  <c r="AJ581" i="1"/>
  <c r="AJ580" i="1"/>
  <c r="AJ579" i="1"/>
  <c r="AJ578" i="1"/>
  <c r="AJ577" i="1"/>
  <c r="AJ576" i="1"/>
  <c r="AJ575" i="1"/>
  <c r="AJ574" i="1"/>
  <c r="AJ573" i="1"/>
  <c r="AJ572" i="1"/>
  <c r="AJ571" i="1"/>
  <c r="AJ570" i="1"/>
  <c r="AJ569" i="1"/>
  <c r="AJ568" i="1"/>
  <c r="AJ567" i="1"/>
  <c r="AJ566" i="1"/>
  <c r="AJ565" i="1"/>
  <c r="AJ564" i="1"/>
  <c r="AJ563" i="1"/>
  <c r="AJ562" i="1"/>
  <c r="AJ561" i="1"/>
  <c r="AJ560" i="1"/>
  <c r="AJ559" i="1"/>
  <c r="AJ558" i="1"/>
  <c r="AJ557" i="1"/>
  <c r="AJ556" i="1"/>
  <c r="AJ555" i="1"/>
  <c r="AJ554" i="1"/>
  <c r="AJ553" i="1"/>
  <c r="AJ552" i="1"/>
  <c r="AJ551" i="1"/>
  <c r="AJ550" i="1"/>
  <c r="AJ549" i="1"/>
  <c r="AJ548" i="1"/>
  <c r="AJ547" i="1"/>
  <c r="AJ546" i="1"/>
  <c r="AJ545" i="1"/>
  <c r="AJ544" i="1"/>
  <c r="AJ543" i="1"/>
  <c r="AJ542" i="1"/>
  <c r="AJ541" i="1"/>
  <c r="AJ540" i="1"/>
  <c r="AJ539" i="1"/>
  <c r="AJ538" i="1"/>
  <c r="AJ537" i="1"/>
  <c r="AJ536" i="1"/>
  <c r="AJ535" i="1"/>
  <c r="AJ534" i="1"/>
  <c r="AJ533" i="1"/>
  <c r="AJ532" i="1"/>
  <c r="AJ531" i="1"/>
  <c r="AJ530" i="1"/>
  <c r="AJ529" i="1"/>
  <c r="AJ528" i="1"/>
  <c r="AJ527" i="1"/>
  <c r="AJ526" i="1"/>
  <c r="AJ525" i="1"/>
  <c r="AJ524" i="1"/>
  <c r="AJ523" i="1"/>
  <c r="AJ522" i="1"/>
  <c r="AJ521" i="1"/>
  <c r="AJ520" i="1"/>
  <c r="AJ519" i="1"/>
  <c r="AJ518" i="1"/>
  <c r="AJ517" i="1"/>
  <c r="AJ516" i="1"/>
  <c r="AJ515" i="1"/>
  <c r="AJ514" i="1"/>
  <c r="AJ513" i="1"/>
  <c r="AJ512" i="1"/>
  <c r="AJ511" i="1"/>
  <c r="AJ510" i="1"/>
  <c r="AJ509" i="1"/>
  <c r="AJ508" i="1"/>
  <c r="AJ507" i="1"/>
  <c r="AJ506" i="1"/>
  <c r="AJ505" i="1"/>
  <c r="AJ504" i="1"/>
  <c r="AJ503" i="1"/>
  <c r="AJ502" i="1"/>
  <c r="AJ501" i="1"/>
  <c r="AJ500" i="1"/>
  <c r="AJ499" i="1"/>
  <c r="AJ498" i="1"/>
  <c r="AJ497" i="1"/>
  <c r="AJ496" i="1"/>
  <c r="AJ495" i="1"/>
  <c r="AJ494" i="1"/>
  <c r="AJ493" i="1"/>
  <c r="AJ492" i="1"/>
  <c r="AJ491" i="1"/>
  <c r="AJ490" i="1"/>
  <c r="AJ489" i="1"/>
  <c r="AJ488" i="1"/>
  <c r="AJ487" i="1"/>
  <c r="AJ486" i="1"/>
  <c r="AJ485" i="1"/>
  <c r="AJ484" i="1"/>
  <c r="AJ483" i="1"/>
  <c r="AJ482" i="1"/>
  <c r="AJ481" i="1"/>
  <c r="AJ480" i="1"/>
  <c r="AJ479" i="1"/>
  <c r="AJ478" i="1"/>
  <c r="AJ477" i="1"/>
  <c r="AJ476" i="1"/>
  <c r="AJ475" i="1"/>
  <c r="AJ474" i="1"/>
  <c r="AJ473" i="1"/>
  <c r="AJ472" i="1"/>
  <c r="AJ471" i="1"/>
  <c r="AJ470" i="1"/>
  <c r="AJ469" i="1"/>
  <c r="AJ468" i="1"/>
  <c r="AJ467" i="1"/>
  <c r="AJ466" i="1"/>
  <c r="AJ465" i="1"/>
  <c r="AJ464" i="1"/>
  <c r="AJ463" i="1"/>
  <c r="AJ462" i="1"/>
  <c r="AJ461" i="1"/>
  <c r="AJ460" i="1"/>
  <c r="AJ459" i="1"/>
  <c r="AJ458" i="1"/>
  <c r="AJ457" i="1"/>
  <c r="AJ456" i="1"/>
  <c r="AJ455" i="1"/>
  <c r="AJ454" i="1"/>
  <c r="AJ453" i="1"/>
  <c r="AJ452" i="1"/>
  <c r="AJ451" i="1"/>
  <c r="AJ450" i="1"/>
  <c r="AJ449" i="1"/>
  <c r="AJ448" i="1"/>
  <c r="AJ447" i="1"/>
  <c r="AJ446" i="1"/>
  <c r="AJ445" i="1"/>
  <c r="AJ444" i="1"/>
  <c r="AJ443" i="1"/>
  <c r="AJ442" i="1"/>
  <c r="AJ441" i="1"/>
  <c r="AJ440" i="1"/>
  <c r="AJ439" i="1"/>
  <c r="AJ438" i="1"/>
  <c r="AJ437" i="1"/>
  <c r="AJ436" i="1"/>
  <c r="AJ435" i="1"/>
  <c r="AJ434" i="1"/>
  <c r="AJ433" i="1"/>
  <c r="AJ432" i="1"/>
  <c r="AJ431" i="1"/>
  <c r="AJ430" i="1"/>
  <c r="AJ429" i="1"/>
  <c r="AJ428" i="1"/>
  <c r="AJ427" i="1"/>
  <c r="AJ426" i="1"/>
  <c r="AJ425" i="1"/>
  <c r="AJ424" i="1"/>
  <c r="AJ423" i="1"/>
  <c r="AJ422" i="1"/>
  <c r="AJ421" i="1"/>
  <c r="AJ420" i="1"/>
  <c r="AJ419" i="1"/>
  <c r="AJ418" i="1"/>
  <c r="AJ417" i="1"/>
  <c r="AJ416" i="1"/>
  <c r="AJ415" i="1"/>
  <c r="AJ414" i="1"/>
  <c r="AJ413" i="1"/>
  <c r="AJ412" i="1"/>
  <c r="AJ411" i="1"/>
  <c r="AJ410" i="1"/>
  <c r="AJ409" i="1"/>
  <c r="AJ408" i="1"/>
  <c r="AJ407" i="1"/>
  <c r="AJ406" i="1"/>
  <c r="AJ405" i="1"/>
  <c r="AJ404" i="1"/>
  <c r="AJ403" i="1"/>
  <c r="AJ402" i="1"/>
  <c r="AJ401" i="1"/>
  <c r="AJ400" i="1"/>
  <c r="AJ399" i="1"/>
  <c r="AJ398" i="1"/>
  <c r="AJ397" i="1"/>
  <c r="AJ396" i="1"/>
  <c r="AJ395" i="1"/>
  <c r="AJ394" i="1"/>
  <c r="AJ393" i="1"/>
  <c r="AJ392" i="1"/>
  <c r="AJ391" i="1"/>
  <c r="AJ390" i="1"/>
  <c r="AJ389" i="1"/>
  <c r="AJ388" i="1"/>
  <c r="AJ387" i="1"/>
  <c r="AJ386" i="1"/>
  <c r="AJ385" i="1"/>
  <c r="AJ384" i="1"/>
  <c r="AJ383" i="1"/>
  <c r="AJ382" i="1"/>
  <c r="AJ381" i="1"/>
  <c r="AJ380" i="1"/>
  <c r="AJ379" i="1"/>
  <c r="AJ378" i="1"/>
  <c r="AJ377" i="1"/>
  <c r="AJ376" i="1"/>
  <c r="AJ375" i="1"/>
  <c r="AJ374" i="1"/>
  <c r="AJ373" i="1"/>
  <c r="AJ372" i="1"/>
  <c r="AJ371" i="1"/>
  <c r="AJ370" i="1"/>
  <c r="AJ369" i="1"/>
  <c r="AJ368" i="1"/>
  <c r="AJ367" i="1"/>
  <c r="AJ366" i="1"/>
  <c r="AJ365" i="1"/>
  <c r="AJ364" i="1"/>
  <c r="AJ363" i="1"/>
  <c r="AJ362" i="1"/>
  <c r="AJ361" i="1"/>
  <c r="AJ360" i="1"/>
  <c r="AJ359" i="1"/>
  <c r="AJ358" i="1"/>
  <c r="AJ357" i="1"/>
  <c r="AJ356" i="1"/>
  <c r="AJ355" i="1"/>
  <c r="AJ354" i="1"/>
  <c r="AJ353" i="1"/>
  <c r="AJ352" i="1"/>
  <c r="AJ351" i="1"/>
  <c r="AJ350" i="1"/>
  <c r="AJ349" i="1"/>
  <c r="AJ348" i="1"/>
  <c r="AJ347" i="1"/>
  <c r="AJ346" i="1"/>
  <c r="AJ345" i="1"/>
  <c r="AJ344" i="1"/>
  <c r="AJ343" i="1"/>
  <c r="AJ342" i="1"/>
  <c r="AJ341" i="1"/>
  <c r="AJ340" i="1"/>
  <c r="AJ339" i="1"/>
  <c r="AJ338" i="1"/>
  <c r="AJ337" i="1"/>
  <c r="AJ336" i="1"/>
  <c r="AJ335" i="1"/>
  <c r="AJ334" i="1"/>
  <c r="AJ333" i="1"/>
  <c r="AJ332" i="1"/>
  <c r="AJ331" i="1"/>
  <c r="AJ330" i="1"/>
  <c r="AJ329" i="1"/>
  <c r="AJ328" i="1"/>
  <c r="AJ327" i="1"/>
  <c r="AJ326" i="1"/>
  <c r="AJ325" i="1"/>
  <c r="AJ324" i="1"/>
  <c r="AJ323" i="1"/>
  <c r="AJ322" i="1"/>
  <c r="AJ321" i="1"/>
  <c r="AJ320" i="1"/>
  <c r="AJ319" i="1"/>
  <c r="AJ318" i="1"/>
  <c r="AJ317" i="1"/>
  <c r="AJ316" i="1"/>
  <c r="AJ315" i="1"/>
  <c r="AJ314" i="1"/>
  <c r="AJ313" i="1"/>
  <c r="AJ312" i="1"/>
  <c r="AJ311" i="1"/>
  <c r="AJ310" i="1"/>
  <c r="AJ309" i="1"/>
  <c r="AJ308" i="1"/>
  <c r="AJ307" i="1"/>
  <c r="AJ306" i="1"/>
  <c r="AJ305" i="1"/>
  <c r="AJ304" i="1"/>
  <c r="AJ303" i="1"/>
  <c r="AJ302" i="1"/>
  <c r="AJ301" i="1"/>
  <c r="AJ300" i="1"/>
  <c r="AJ299" i="1"/>
  <c r="AJ298" i="1"/>
  <c r="AJ297" i="1"/>
  <c r="AJ296" i="1"/>
  <c r="AJ295" i="1"/>
  <c r="AJ294" i="1"/>
  <c r="AJ293" i="1"/>
  <c r="AJ292" i="1"/>
  <c r="AJ291" i="1"/>
  <c r="AJ290" i="1"/>
  <c r="AJ289" i="1"/>
  <c r="AJ288" i="1"/>
  <c r="AJ287" i="1"/>
  <c r="AJ286" i="1"/>
  <c r="AJ285" i="1"/>
  <c r="AJ284" i="1"/>
  <c r="AJ283" i="1"/>
  <c r="AJ282" i="1"/>
  <c r="AJ281" i="1"/>
  <c r="AJ280" i="1"/>
  <c r="AJ279" i="1"/>
  <c r="AJ278" i="1"/>
  <c r="AJ277" i="1"/>
  <c r="AJ276" i="1"/>
  <c r="AJ275" i="1"/>
  <c r="AJ274" i="1"/>
  <c r="AJ273" i="1"/>
  <c r="AJ272" i="1"/>
  <c r="AJ271" i="1"/>
  <c r="AJ270" i="1"/>
  <c r="AJ269" i="1"/>
  <c r="AJ268" i="1"/>
  <c r="AJ267" i="1"/>
  <c r="AJ266" i="1"/>
  <c r="AJ265" i="1"/>
  <c r="AJ264" i="1"/>
  <c r="AJ263" i="1"/>
  <c r="AJ262" i="1"/>
  <c r="AJ261" i="1"/>
  <c r="AJ260" i="1"/>
  <c r="AJ259" i="1"/>
  <c r="AJ258" i="1"/>
  <c r="AJ257" i="1"/>
  <c r="AJ256" i="1"/>
  <c r="AJ255" i="1"/>
  <c r="AJ254" i="1"/>
  <c r="AJ253" i="1"/>
  <c r="AJ252" i="1"/>
  <c r="AJ251" i="1"/>
  <c r="AJ250" i="1"/>
  <c r="AJ249" i="1"/>
  <c r="AJ248" i="1"/>
  <c r="AJ247" i="1"/>
  <c r="AJ246" i="1"/>
  <c r="AJ245" i="1"/>
  <c r="AJ244" i="1"/>
  <c r="AJ243" i="1"/>
  <c r="AJ242" i="1"/>
  <c r="AJ241" i="1"/>
  <c r="AJ240" i="1"/>
  <c r="AJ239" i="1"/>
  <c r="AJ238" i="1"/>
  <c r="AJ237" i="1"/>
  <c r="AJ236" i="1"/>
  <c r="AJ235" i="1"/>
  <c r="AJ234" i="1"/>
  <c r="AJ233" i="1"/>
  <c r="AJ232" i="1"/>
  <c r="AJ231" i="1"/>
  <c r="AJ230" i="1"/>
  <c r="AJ229" i="1"/>
  <c r="AJ228" i="1"/>
  <c r="AJ227" i="1"/>
  <c r="AJ226" i="1"/>
  <c r="AJ225" i="1"/>
  <c r="AJ224" i="1"/>
  <c r="AJ223" i="1"/>
  <c r="AJ222" i="1"/>
  <c r="AJ221" i="1"/>
  <c r="AJ220" i="1"/>
  <c r="AJ219" i="1"/>
  <c r="AJ218" i="1"/>
  <c r="AJ217" i="1"/>
  <c r="AJ216" i="1"/>
  <c r="AJ215" i="1"/>
  <c r="AJ214" i="1"/>
  <c r="AJ213" i="1"/>
  <c r="AJ212" i="1"/>
  <c r="AJ211" i="1"/>
  <c r="AJ210" i="1"/>
  <c r="AJ209" i="1"/>
  <c r="AJ208" i="1"/>
  <c r="AJ207" i="1"/>
  <c r="AJ206" i="1"/>
  <c r="AJ205" i="1"/>
  <c r="AJ204" i="1"/>
  <c r="AJ203" i="1"/>
  <c r="AJ202" i="1"/>
  <c r="AJ201" i="1"/>
  <c r="AJ200" i="1"/>
  <c r="AJ199" i="1"/>
  <c r="AJ198" i="1"/>
  <c r="AJ197" i="1"/>
  <c r="AJ196" i="1"/>
  <c r="AJ195" i="1"/>
  <c r="AJ194" i="1"/>
  <c r="AJ193" i="1"/>
  <c r="AJ192" i="1"/>
  <c r="AJ191" i="1"/>
  <c r="AJ190" i="1"/>
  <c r="AJ189" i="1"/>
  <c r="AJ188" i="1"/>
  <c r="AJ187" i="1"/>
  <c r="AJ186" i="1"/>
  <c r="AJ185" i="1"/>
  <c r="AJ184" i="1"/>
  <c r="AJ183" i="1"/>
  <c r="AJ182" i="1"/>
  <c r="AJ181" i="1"/>
  <c r="AJ180" i="1"/>
  <c r="AJ179" i="1"/>
  <c r="AJ178" i="1"/>
  <c r="AJ177" i="1"/>
  <c r="AJ176" i="1"/>
  <c r="AJ175" i="1"/>
  <c r="AJ174" i="1"/>
  <c r="AJ173" i="1"/>
  <c r="AJ172" i="1"/>
  <c r="AJ171" i="1"/>
  <c r="AJ170" i="1"/>
  <c r="AJ169" i="1"/>
  <c r="AJ168" i="1"/>
  <c r="AJ167" i="1"/>
  <c r="AJ166" i="1"/>
  <c r="AJ165" i="1"/>
  <c r="AJ164" i="1"/>
  <c r="AJ163" i="1"/>
  <c r="AJ162" i="1"/>
  <c r="AJ161" i="1"/>
  <c r="AJ160" i="1"/>
  <c r="AJ159" i="1"/>
  <c r="AJ158" i="1"/>
  <c r="AJ157" i="1"/>
  <c r="AJ156" i="1"/>
  <c r="AJ155" i="1"/>
  <c r="AJ154" i="1"/>
  <c r="AJ153" i="1"/>
  <c r="AJ152" i="1"/>
  <c r="AJ151" i="1"/>
  <c r="AJ150" i="1"/>
  <c r="AJ149" i="1"/>
  <c r="AJ148" i="1"/>
  <c r="AJ147" i="1"/>
  <c r="AJ146" i="1"/>
  <c r="AJ145" i="1"/>
  <c r="AJ144" i="1"/>
  <c r="AJ143" i="1"/>
  <c r="AJ142" i="1"/>
  <c r="AJ141" i="1"/>
  <c r="AJ140" i="1"/>
  <c r="AJ139" i="1"/>
  <c r="AJ138" i="1"/>
  <c r="AJ137" i="1"/>
  <c r="AJ136" i="1"/>
  <c r="AJ135" i="1"/>
  <c r="AJ134" i="1"/>
  <c r="AJ133" i="1"/>
  <c r="AJ132" i="1"/>
  <c r="AJ131" i="1"/>
  <c r="AJ130" i="1"/>
  <c r="AJ129" i="1"/>
  <c r="AJ128" i="1"/>
  <c r="AJ127" i="1"/>
  <c r="AJ126" i="1"/>
  <c r="AJ125" i="1"/>
  <c r="AJ124" i="1"/>
  <c r="AJ123" i="1"/>
  <c r="AJ122" i="1"/>
  <c r="AJ121" i="1"/>
  <c r="AJ120" i="1"/>
  <c r="AJ119" i="1"/>
  <c r="AJ118" i="1"/>
  <c r="AJ117" i="1"/>
  <c r="AJ116" i="1"/>
  <c r="AJ115" i="1"/>
  <c r="AJ114" i="1"/>
  <c r="AJ113" i="1"/>
  <c r="AJ112" i="1"/>
  <c r="AJ111" i="1"/>
  <c r="AJ110" i="1"/>
  <c r="AJ109" i="1"/>
  <c r="AJ108" i="1"/>
  <c r="AJ107" i="1"/>
  <c r="AJ106" i="1"/>
  <c r="AJ105" i="1"/>
  <c r="AJ104" i="1"/>
  <c r="AJ103" i="1"/>
  <c r="AJ102" i="1"/>
  <c r="AJ101" i="1"/>
  <c r="AJ100" i="1"/>
  <c r="AJ99" i="1"/>
  <c r="AJ98" i="1"/>
  <c r="AJ97" i="1"/>
  <c r="AJ96" i="1"/>
  <c r="AJ95" i="1"/>
  <c r="AJ94" i="1"/>
  <c r="AJ93" i="1"/>
  <c r="AJ92" i="1"/>
  <c r="AJ91" i="1"/>
  <c r="AJ90" i="1"/>
  <c r="AJ89" i="1"/>
  <c r="AJ88" i="1"/>
  <c r="AJ87" i="1"/>
  <c r="AJ86" i="1"/>
  <c r="AJ85" i="1"/>
  <c r="AJ84" i="1"/>
  <c r="AJ83" i="1"/>
  <c r="AJ82" i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4" i="1"/>
  <c r="H675" i="21"/>
  <c r="G675" i="21"/>
  <c r="F675" i="21"/>
  <c r="E675" i="21"/>
  <c r="D675" i="21"/>
  <c r="C675" i="21"/>
  <c r="I674" i="21"/>
  <c r="A674" i="21"/>
  <c r="I673" i="21"/>
  <c r="A673" i="21"/>
  <c r="I672" i="21"/>
  <c r="A672" i="21"/>
  <c r="I671" i="21"/>
  <c r="A671" i="21"/>
  <c r="I670" i="21"/>
  <c r="A670" i="21"/>
  <c r="I669" i="21"/>
  <c r="A669" i="21"/>
  <c r="I668" i="21"/>
  <c r="A668" i="21"/>
  <c r="I667" i="21"/>
  <c r="A667" i="21"/>
  <c r="I666" i="21"/>
  <c r="A666" i="21"/>
  <c r="I665" i="21"/>
  <c r="A665" i="21"/>
  <c r="I664" i="21"/>
  <c r="A664" i="21"/>
  <c r="I663" i="21"/>
  <c r="A663" i="21"/>
  <c r="I662" i="21"/>
  <c r="A662" i="21"/>
  <c r="I661" i="21"/>
  <c r="A661" i="21"/>
  <c r="I660" i="21"/>
  <c r="A660" i="21"/>
  <c r="I659" i="21"/>
  <c r="A659" i="21"/>
  <c r="I658" i="21"/>
  <c r="A658" i="21"/>
  <c r="I657" i="21"/>
  <c r="A657" i="21"/>
  <c r="I656" i="21"/>
  <c r="A656" i="21"/>
  <c r="I655" i="21"/>
  <c r="A655" i="21"/>
  <c r="I654" i="21"/>
  <c r="A654" i="21"/>
  <c r="I653" i="21"/>
  <c r="A653" i="21"/>
  <c r="I652" i="21"/>
  <c r="A652" i="21"/>
  <c r="I651" i="21"/>
  <c r="A651" i="21"/>
  <c r="I650" i="21"/>
  <c r="A650" i="21"/>
  <c r="I649" i="21"/>
  <c r="A649" i="21"/>
  <c r="I648" i="21"/>
  <c r="A648" i="21"/>
  <c r="I647" i="21"/>
  <c r="A647" i="21"/>
  <c r="I646" i="21"/>
  <c r="A646" i="21"/>
  <c r="I645" i="21"/>
  <c r="A645" i="21"/>
  <c r="I644" i="21"/>
  <c r="A644" i="21"/>
  <c r="I643" i="21"/>
  <c r="A643" i="21"/>
  <c r="I642" i="21"/>
  <c r="A642" i="21"/>
  <c r="I641" i="21"/>
  <c r="A641" i="21"/>
  <c r="I640" i="21"/>
  <c r="A640" i="21"/>
  <c r="I639" i="21"/>
  <c r="A639" i="21"/>
  <c r="I638" i="21"/>
  <c r="A638" i="21"/>
  <c r="I637" i="21"/>
  <c r="A637" i="21"/>
  <c r="I636" i="21"/>
  <c r="A636" i="21"/>
  <c r="I635" i="21"/>
  <c r="A635" i="21"/>
  <c r="I634" i="21"/>
  <c r="A634" i="21"/>
  <c r="I633" i="21"/>
  <c r="A633" i="21"/>
  <c r="I632" i="21"/>
  <c r="A632" i="21"/>
  <c r="I631" i="21"/>
  <c r="A631" i="21"/>
  <c r="I630" i="21"/>
  <c r="A630" i="21"/>
  <c r="I629" i="21"/>
  <c r="A629" i="21"/>
  <c r="I628" i="21"/>
  <c r="A628" i="21"/>
  <c r="I627" i="21"/>
  <c r="A627" i="21"/>
  <c r="I626" i="21"/>
  <c r="A626" i="21"/>
  <c r="I625" i="21"/>
  <c r="A625" i="21"/>
  <c r="I624" i="21"/>
  <c r="A624" i="21"/>
  <c r="I623" i="21"/>
  <c r="A623" i="21"/>
  <c r="I622" i="21"/>
  <c r="A622" i="21"/>
  <c r="I621" i="21"/>
  <c r="A621" i="21"/>
  <c r="I620" i="21"/>
  <c r="A620" i="21"/>
  <c r="I619" i="21"/>
  <c r="A619" i="21"/>
  <c r="I618" i="21"/>
  <c r="A618" i="21"/>
  <c r="I617" i="21"/>
  <c r="A617" i="21"/>
  <c r="I616" i="21"/>
  <c r="A616" i="21"/>
  <c r="I615" i="21"/>
  <c r="A615" i="21"/>
  <c r="I614" i="21"/>
  <c r="A614" i="21"/>
  <c r="I613" i="21"/>
  <c r="A613" i="21"/>
  <c r="I612" i="21"/>
  <c r="A612" i="21"/>
  <c r="I611" i="21"/>
  <c r="A611" i="21"/>
  <c r="I610" i="21"/>
  <c r="A610" i="21"/>
  <c r="I609" i="21"/>
  <c r="A609" i="21"/>
  <c r="I608" i="21"/>
  <c r="A608" i="21"/>
  <c r="I607" i="21"/>
  <c r="A607" i="21"/>
  <c r="I606" i="21"/>
  <c r="A606" i="21"/>
  <c r="I605" i="21"/>
  <c r="A605" i="21"/>
  <c r="I604" i="21"/>
  <c r="A604" i="21"/>
  <c r="I603" i="21"/>
  <c r="A603" i="21"/>
  <c r="I602" i="21"/>
  <c r="A602" i="21"/>
  <c r="I601" i="21"/>
  <c r="A601" i="21"/>
  <c r="I600" i="21"/>
  <c r="A600" i="21"/>
  <c r="I599" i="21"/>
  <c r="A599" i="21"/>
  <c r="I598" i="21"/>
  <c r="A598" i="21"/>
  <c r="I597" i="21"/>
  <c r="A597" i="21"/>
  <c r="I596" i="21"/>
  <c r="A596" i="21"/>
  <c r="I595" i="21"/>
  <c r="A595" i="21"/>
  <c r="I594" i="21"/>
  <c r="A594" i="21"/>
  <c r="I593" i="21"/>
  <c r="A593" i="21"/>
  <c r="I592" i="21"/>
  <c r="A592" i="21"/>
  <c r="I591" i="21"/>
  <c r="A591" i="21"/>
  <c r="I590" i="21"/>
  <c r="A590" i="21"/>
  <c r="I589" i="21"/>
  <c r="A589" i="21"/>
  <c r="I588" i="21"/>
  <c r="A588" i="21"/>
  <c r="I587" i="21"/>
  <c r="A587" i="21"/>
  <c r="I586" i="21"/>
  <c r="A586" i="21"/>
  <c r="I585" i="21"/>
  <c r="A585" i="21"/>
  <c r="I584" i="21"/>
  <c r="A584" i="21"/>
  <c r="I583" i="21"/>
  <c r="A583" i="21"/>
  <c r="I582" i="21"/>
  <c r="A582" i="21"/>
  <c r="I581" i="21"/>
  <c r="A581" i="21"/>
  <c r="I580" i="21"/>
  <c r="A580" i="21"/>
  <c r="I579" i="21"/>
  <c r="A579" i="21"/>
  <c r="I578" i="21"/>
  <c r="A578" i="21"/>
  <c r="I577" i="21"/>
  <c r="A577" i="21"/>
  <c r="I576" i="21"/>
  <c r="A576" i="21"/>
  <c r="I575" i="21"/>
  <c r="A575" i="21"/>
  <c r="I574" i="21"/>
  <c r="A574" i="21"/>
  <c r="I573" i="21"/>
  <c r="A573" i="21"/>
  <c r="I572" i="21"/>
  <c r="A572" i="21"/>
  <c r="I571" i="21"/>
  <c r="A571" i="21"/>
  <c r="I570" i="21"/>
  <c r="A570" i="21"/>
  <c r="I569" i="21"/>
  <c r="A569" i="21"/>
  <c r="I568" i="21"/>
  <c r="A568" i="21"/>
  <c r="I567" i="21"/>
  <c r="A567" i="21"/>
  <c r="I566" i="21"/>
  <c r="A566" i="21"/>
  <c r="I565" i="21"/>
  <c r="A565" i="21"/>
  <c r="I564" i="21"/>
  <c r="A564" i="21"/>
  <c r="I563" i="21"/>
  <c r="A563" i="21"/>
  <c r="I562" i="21"/>
  <c r="A562" i="21"/>
  <c r="I561" i="21"/>
  <c r="A561" i="21"/>
  <c r="I560" i="21"/>
  <c r="A560" i="21"/>
  <c r="I559" i="21"/>
  <c r="A559" i="21"/>
  <c r="I558" i="21"/>
  <c r="A558" i="21"/>
  <c r="I557" i="21"/>
  <c r="A557" i="21"/>
  <c r="I556" i="21"/>
  <c r="A556" i="21"/>
  <c r="I555" i="21"/>
  <c r="A555" i="21"/>
  <c r="I554" i="21"/>
  <c r="A554" i="21"/>
  <c r="I553" i="21"/>
  <c r="A553" i="21"/>
  <c r="I552" i="21"/>
  <c r="A552" i="21"/>
  <c r="I551" i="21"/>
  <c r="A551" i="21"/>
  <c r="I550" i="21"/>
  <c r="A550" i="21"/>
  <c r="I549" i="21"/>
  <c r="A549" i="21"/>
  <c r="I548" i="21"/>
  <c r="A548" i="21"/>
  <c r="I547" i="21"/>
  <c r="A547" i="21"/>
  <c r="I546" i="21"/>
  <c r="A546" i="21"/>
  <c r="I545" i="21"/>
  <c r="A545" i="21"/>
  <c r="I544" i="21"/>
  <c r="A544" i="21"/>
  <c r="I543" i="21"/>
  <c r="A543" i="21"/>
  <c r="I542" i="21"/>
  <c r="A542" i="21"/>
  <c r="I541" i="21"/>
  <c r="A541" i="21"/>
  <c r="I540" i="21"/>
  <c r="A540" i="21"/>
  <c r="I539" i="21"/>
  <c r="A539" i="21"/>
  <c r="I538" i="21"/>
  <c r="A538" i="21"/>
  <c r="I537" i="21"/>
  <c r="A537" i="21"/>
  <c r="I536" i="21"/>
  <c r="A536" i="21"/>
  <c r="I535" i="21"/>
  <c r="A535" i="21"/>
  <c r="I534" i="21"/>
  <c r="A534" i="21"/>
  <c r="I533" i="21"/>
  <c r="A533" i="21"/>
  <c r="I532" i="21"/>
  <c r="A532" i="21"/>
  <c r="I531" i="21"/>
  <c r="A531" i="21"/>
  <c r="I530" i="21"/>
  <c r="A530" i="21"/>
  <c r="I529" i="21"/>
  <c r="A529" i="21"/>
  <c r="I528" i="21"/>
  <c r="A528" i="21"/>
  <c r="I527" i="21"/>
  <c r="A527" i="21"/>
  <c r="I526" i="21"/>
  <c r="A526" i="21"/>
  <c r="I525" i="21"/>
  <c r="A525" i="21"/>
  <c r="I524" i="21"/>
  <c r="A524" i="21"/>
  <c r="I523" i="21"/>
  <c r="A523" i="21"/>
  <c r="I522" i="21"/>
  <c r="A522" i="21"/>
  <c r="I521" i="21"/>
  <c r="A521" i="21"/>
  <c r="I520" i="21"/>
  <c r="A520" i="21"/>
  <c r="I519" i="21"/>
  <c r="A519" i="21"/>
  <c r="I518" i="21"/>
  <c r="A518" i="21"/>
  <c r="I517" i="21"/>
  <c r="A517" i="21"/>
  <c r="I516" i="21"/>
  <c r="A516" i="21"/>
  <c r="I515" i="21"/>
  <c r="A515" i="21"/>
  <c r="I514" i="21"/>
  <c r="A514" i="21"/>
  <c r="I513" i="21"/>
  <c r="A513" i="21"/>
  <c r="I512" i="21"/>
  <c r="A512" i="21"/>
  <c r="I511" i="21"/>
  <c r="A511" i="21"/>
  <c r="I510" i="21"/>
  <c r="A510" i="21"/>
  <c r="I509" i="21"/>
  <c r="A509" i="21"/>
  <c r="I508" i="21"/>
  <c r="A508" i="21"/>
  <c r="I507" i="21"/>
  <c r="A507" i="21"/>
  <c r="I506" i="21"/>
  <c r="A506" i="21"/>
  <c r="I505" i="21"/>
  <c r="A505" i="21"/>
  <c r="I504" i="21"/>
  <c r="A504" i="21"/>
  <c r="I503" i="21"/>
  <c r="A503" i="21"/>
  <c r="I502" i="21"/>
  <c r="A502" i="21"/>
  <c r="I501" i="21"/>
  <c r="A501" i="21"/>
  <c r="I500" i="21"/>
  <c r="A500" i="21"/>
  <c r="I499" i="21"/>
  <c r="A499" i="21"/>
  <c r="I498" i="21"/>
  <c r="A498" i="21"/>
  <c r="I497" i="21"/>
  <c r="A497" i="21"/>
  <c r="I496" i="21"/>
  <c r="A496" i="21"/>
  <c r="I495" i="21"/>
  <c r="A495" i="21"/>
  <c r="I494" i="21"/>
  <c r="A494" i="21"/>
  <c r="I493" i="21"/>
  <c r="A493" i="21"/>
  <c r="I492" i="21"/>
  <c r="A492" i="21"/>
  <c r="I491" i="21"/>
  <c r="A491" i="21"/>
  <c r="I490" i="21"/>
  <c r="A490" i="21"/>
  <c r="I489" i="21"/>
  <c r="A489" i="21"/>
  <c r="I488" i="21"/>
  <c r="A488" i="21"/>
  <c r="I487" i="21"/>
  <c r="A487" i="21"/>
  <c r="I486" i="21"/>
  <c r="A486" i="21"/>
  <c r="I485" i="21"/>
  <c r="A485" i="21"/>
  <c r="I484" i="21"/>
  <c r="A484" i="21"/>
  <c r="I483" i="21"/>
  <c r="A483" i="21"/>
  <c r="I482" i="21"/>
  <c r="A482" i="21"/>
  <c r="I481" i="21"/>
  <c r="A481" i="21"/>
  <c r="I480" i="21"/>
  <c r="A480" i="21"/>
  <c r="I479" i="21"/>
  <c r="A479" i="21"/>
  <c r="I478" i="21"/>
  <c r="A478" i="21"/>
  <c r="I477" i="21"/>
  <c r="A477" i="21"/>
  <c r="I476" i="21"/>
  <c r="A476" i="21"/>
  <c r="I475" i="21"/>
  <c r="A475" i="21"/>
  <c r="I474" i="21"/>
  <c r="A474" i="21"/>
  <c r="I473" i="21"/>
  <c r="A473" i="21"/>
  <c r="I472" i="21"/>
  <c r="A472" i="21"/>
  <c r="I471" i="21"/>
  <c r="A471" i="21"/>
  <c r="I470" i="21"/>
  <c r="A470" i="21"/>
  <c r="I469" i="21"/>
  <c r="A469" i="21"/>
  <c r="I468" i="21"/>
  <c r="A468" i="21"/>
  <c r="I467" i="21"/>
  <c r="A467" i="21"/>
  <c r="I466" i="21"/>
  <c r="A466" i="21"/>
  <c r="I465" i="21"/>
  <c r="A465" i="21"/>
  <c r="I464" i="21"/>
  <c r="A464" i="21"/>
  <c r="I463" i="21"/>
  <c r="A463" i="21"/>
  <c r="I462" i="21"/>
  <c r="A462" i="21"/>
  <c r="I461" i="21"/>
  <c r="A461" i="21"/>
  <c r="I460" i="21"/>
  <c r="A460" i="21"/>
  <c r="I459" i="21"/>
  <c r="A459" i="21"/>
  <c r="I458" i="21"/>
  <c r="A458" i="21"/>
  <c r="I457" i="21"/>
  <c r="A457" i="21"/>
  <c r="I456" i="21"/>
  <c r="A456" i="21"/>
  <c r="I455" i="21"/>
  <c r="A455" i="21"/>
  <c r="I454" i="21"/>
  <c r="A454" i="21"/>
  <c r="I453" i="21"/>
  <c r="A453" i="21"/>
  <c r="I452" i="21"/>
  <c r="A452" i="21"/>
  <c r="I451" i="21"/>
  <c r="A451" i="21"/>
  <c r="I450" i="21"/>
  <c r="A450" i="21"/>
  <c r="I449" i="21"/>
  <c r="A449" i="21"/>
  <c r="I448" i="21"/>
  <c r="A448" i="21"/>
  <c r="I447" i="21"/>
  <c r="A447" i="21"/>
  <c r="I446" i="21"/>
  <c r="A446" i="21"/>
  <c r="I445" i="21"/>
  <c r="A445" i="21"/>
  <c r="I444" i="21"/>
  <c r="A444" i="21"/>
  <c r="I443" i="21"/>
  <c r="A443" i="21"/>
  <c r="I442" i="21"/>
  <c r="A442" i="21"/>
  <c r="I441" i="21"/>
  <c r="A441" i="21"/>
  <c r="I440" i="21"/>
  <c r="A440" i="21"/>
  <c r="I439" i="21"/>
  <c r="A439" i="21"/>
  <c r="I438" i="21"/>
  <c r="A438" i="21"/>
  <c r="I437" i="21"/>
  <c r="A437" i="21"/>
  <c r="I436" i="21"/>
  <c r="A436" i="21"/>
  <c r="I435" i="21"/>
  <c r="A435" i="21"/>
  <c r="I434" i="21"/>
  <c r="A434" i="21"/>
  <c r="I433" i="21"/>
  <c r="A433" i="21"/>
  <c r="I432" i="21"/>
  <c r="A432" i="21"/>
  <c r="I431" i="21"/>
  <c r="A431" i="21"/>
  <c r="I430" i="21"/>
  <c r="A430" i="21"/>
  <c r="I429" i="21"/>
  <c r="A429" i="21"/>
  <c r="I428" i="21"/>
  <c r="A428" i="21"/>
  <c r="I427" i="21"/>
  <c r="A427" i="21"/>
  <c r="I426" i="21"/>
  <c r="A426" i="21"/>
  <c r="I425" i="21"/>
  <c r="A425" i="21"/>
  <c r="I424" i="21"/>
  <c r="A424" i="21"/>
  <c r="I423" i="21"/>
  <c r="A423" i="21"/>
  <c r="I422" i="21"/>
  <c r="A422" i="21"/>
  <c r="I421" i="21"/>
  <c r="A421" i="21"/>
  <c r="I420" i="21"/>
  <c r="A420" i="21"/>
  <c r="I419" i="21"/>
  <c r="A419" i="21"/>
  <c r="I418" i="21"/>
  <c r="A418" i="21"/>
  <c r="I417" i="21"/>
  <c r="A417" i="21"/>
  <c r="I416" i="21"/>
  <c r="A416" i="21"/>
  <c r="I415" i="21"/>
  <c r="A415" i="21"/>
  <c r="I414" i="21"/>
  <c r="A414" i="21"/>
  <c r="I413" i="21"/>
  <c r="A413" i="21"/>
  <c r="I412" i="21"/>
  <c r="A412" i="21"/>
  <c r="I411" i="21"/>
  <c r="A411" i="21"/>
  <c r="I410" i="21"/>
  <c r="A410" i="21"/>
  <c r="I409" i="21"/>
  <c r="A409" i="21"/>
  <c r="I408" i="21"/>
  <c r="A408" i="21"/>
  <c r="I407" i="21"/>
  <c r="A407" i="21"/>
  <c r="I406" i="21"/>
  <c r="A406" i="21"/>
  <c r="I405" i="21"/>
  <c r="A405" i="21"/>
  <c r="I404" i="21"/>
  <c r="A404" i="21"/>
  <c r="I403" i="21"/>
  <c r="A403" i="21"/>
  <c r="I402" i="21"/>
  <c r="A402" i="21"/>
  <c r="I401" i="21"/>
  <c r="A401" i="21"/>
  <c r="I400" i="21"/>
  <c r="A400" i="21"/>
  <c r="I399" i="21"/>
  <c r="A399" i="21"/>
  <c r="I398" i="21"/>
  <c r="A398" i="21"/>
  <c r="I397" i="21"/>
  <c r="A397" i="21"/>
  <c r="I396" i="21"/>
  <c r="A396" i="21"/>
  <c r="I395" i="21"/>
  <c r="A395" i="21"/>
  <c r="I394" i="21"/>
  <c r="A394" i="21"/>
  <c r="I393" i="21"/>
  <c r="A393" i="21"/>
  <c r="I392" i="21"/>
  <c r="A392" i="21"/>
  <c r="I391" i="21"/>
  <c r="A391" i="21"/>
  <c r="I390" i="21"/>
  <c r="A390" i="21"/>
  <c r="I389" i="21"/>
  <c r="A389" i="21"/>
  <c r="I388" i="21"/>
  <c r="A388" i="21"/>
  <c r="I387" i="21"/>
  <c r="A387" i="21"/>
  <c r="I386" i="21"/>
  <c r="A386" i="21"/>
  <c r="I385" i="21"/>
  <c r="A385" i="21"/>
  <c r="I384" i="21"/>
  <c r="A384" i="21"/>
  <c r="I383" i="21"/>
  <c r="A383" i="21"/>
  <c r="I382" i="21"/>
  <c r="A382" i="21"/>
  <c r="I381" i="21"/>
  <c r="A381" i="21"/>
  <c r="I380" i="21"/>
  <c r="A380" i="21"/>
  <c r="I379" i="21"/>
  <c r="A379" i="21"/>
  <c r="I378" i="21"/>
  <c r="A378" i="21"/>
  <c r="I377" i="21"/>
  <c r="A377" i="21"/>
  <c r="I376" i="21"/>
  <c r="A376" i="21"/>
  <c r="I375" i="21"/>
  <c r="A375" i="21"/>
  <c r="I374" i="21"/>
  <c r="A374" i="21"/>
  <c r="I373" i="21"/>
  <c r="A373" i="21"/>
  <c r="I372" i="21"/>
  <c r="A372" i="21"/>
  <c r="I371" i="21"/>
  <c r="A371" i="21"/>
  <c r="I370" i="21"/>
  <c r="A370" i="21"/>
  <c r="I369" i="21"/>
  <c r="A369" i="21"/>
  <c r="I368" i="21"/>
  <c r="A368" i="21"/>
  <c r="I367" i="21"/>
  <c r="A367" i="21"/>
  <c r="I366" i="21"/>
  <c r="A366" i="21"/>
  <c r="I365" i="21"/>
  <c r="A365" i="21"/>
  <c r="I364" i="21"/>
  <c r="A364" i="21"/>
  <c r="I363" i="21"/>
  <c r="A363" i="21"/>
  <c r="I362" i="21"/>
  <c r="A362" i="21"/>
  <c r="I361" i="21"/>
  <c r="A361" i="21"/>
  <c r="I360" i="21"/>
  <c r="A360" i="21"/>
  <c r="I359" i="21"/>
  <c r="A359" i="21"/>
  <c r="I358" i="21"/>
  <c r="A358" i="21"/>
  <c r="I357" i="21"/>
  <c r="A357" i="21"/>
  <c r="I356" i="21"/>
  <c r="A356" i="21"/>
  <c r="I355" i="21"/>
  <c r="A355" i="21"/>
  <c r="I354" i="21"/>
  <c r="A354" i="21"/>
  <c r="I353" i="21"/>
  <c r="A353" i="21"/>
  <c r="I352" i="21"/>
  <c r="A352" i="21"/>
  <c r="I351" i="21"/>
  <c r="A351" i="21"/>
  <c r="I350" i="21"/>
  <c r="A350" i="21"/>
  <c r="I349" i="21"/>
  <c r="A349" i="21"/>
  <c r="I348" i="21"/>
  <c r="A348" i="21"/>
  <c r="I347" i="21"/>
  <c r="A347" i="21"/>
  <c r="I346" i="21"/>
  <c r="A346" i="21"/>
  <c r="I345" i="21"/>
  <c r="A345" i="21"/>
  <c r="I344" i="21"/>
  <c r="A344" i="21"/>
  <c r="I343" i="21"/>
  <c r="A343" i="21"/>
  <c r="I342" i="21"/>
  <c r="A342" i="21"/>
  <c r="I341" i="21"/>
  <c r="A341" i="21"/>
  <c r="I340" i="21"/>
  <c r="A340" i="21"/>
  <c r="I339" i="21"/>
  <c r="A339" i="21"/>
  <c r="I338" i="21"/>
  <c r="A338" i="21"/>
  <c r="I337" i="21"/>
  <c r="A337" i="21"/>
  <c r="I336" i="21"/>
  <c r="A336" i="21"/>
  <c r="I335" i="21"/>
  <c r="A335" i="21"/>
  <c r="I334" i="21"/>
  <c r="A334" i="21"/>
  <c r="I333" i="21"/>
  <c r="A333" i="21"/>
  <c r="I332" i="21"/>
  <c r="A332" i="21"/>
  <c r="I331" i="21"/>
  <c r="A331" i="21"/>
  <c r="I330" i="21"/>
  <c r="A330" i="21"/>
  <c r="I329" i="21"/>
  <c r="A329" i="21"/>
  <c r="I328" i="21"/>
  <c r="A328" i="21"/>
  <c r="I327" i="21"/>
  <c r="A327" i="21"/>
  <c r="I326" i="21"/>
  <c r="A326" i="21"/>
  <c r="I325" i="21"/>
  <c r="A325" i="21"/>
  <c r="I324" i="21"/>
  <c r="A324" i="21"/>
  <c r="I323" i="21"/>
  <c r="A323" i="21"/>
  <c r="I322" i="21"/>
  <c r="A322" i="21"/>
  <c r="I321" i="21"/>
  <c r="A321" i="21"/>
  <c r="I320" i="21"/>
  <c r="A320" i="21"/>
  <c r="I319" i="21"/>
  <c r="A319" i="21"/>
  <c r="I318" i="21"/>
  <c r="A318" i="21"/>
  <c r="I317" i="21"/>
  <c r="A317" i="21"/>
  <c r="I316" i="21"/>
  <c r="A316" i="21"/>
  <c r="I315" i="21"/>
  <c r="A315" i="21"/>
  <c r="I314" i="21"/>
  <c r="A314" i="21"/>
  <c r="I313" i="21"/>
  <c r="A313" i="21"/>
  <c r="I312" i="21"/>
  <c r="A312" i="21"/>
  <c r="I311" i="21"/>
  <c r="A311" i="21"/>
  <c r="I310" i="21"/>
  <c r="A310" i="21"/>
  <c r="I309" i="21"/>
  <c r="A309" i="21"/>
  <c r="I308" i="21"/>
  <c r="A308" i="21"/>
  <c r="I307" i="21"/>
  <c r="A307" i="21"/>
  <c r="I306" i="21"/>
  <c r="A306" i="21"/>
  <c r="I305" i="21"/>
  <c r="A305" i="21"/>
  <c r="I304" i="21"/>
  <c r="A304" i="21"/>
  <c r="I303" i="21"/>
  <c r="A303" i="21"/>
  <c r="I302" i="21"/>
  <c r="A302" i="21"/>
  <c r="I301" i="21"/>
  <c r="A301" i="21"/>
  <c r="I300" i="21"/>
  <c r="A300" i="21"/>
  <c r="I299" i="21"/>
  <c r="A299" i="21"/>
  <c r="I298" i="21"/>
  <c r="A298" i="21"/>
  <c r="I297" i="21"/>
  <c r="A297" i="21"/>
  <c r="I296" i="21"/>
  <c r="A296" i="21"/>
  <c r="I295" i="21"/>
  <c r="A295" i="21"/>
  <c r="I294" i="21"/>
  <c r="A294" i="21"/>
  <c r="I293" i="21"/>
  <c r="A293" i="21"/>
  <c r="I292" i="21"/>
  <c r="A292" i="21"/>
  <c r="I291" i="21"/>
  <c r="A291" i="21"/>
  <c r="I290" i="21"/>
  <c r="A290" i="21"/>
  <c r="I289" i="21"/>
  <c r="A289" i="21"/>
  <c r="I288" i="21"/>
  <c r="A288" i="21"/>
  <c r="I287" i="21"/>
  <c r="A287" i="21"/>
  <c r="I286" i="21"/>
  <c r="A286" i="21"/>
  <c r="I285" i="21"/>
  <c r="A285" i="21"/>
  <c r="I284" i="21"/>
  <c r="A284" i="21"/>
  <c r="I283" i="21"/>
  <c r="A283" i="21"/>
  <c r="I282" i="21"/>
  <c r="A282" i="21"/>
  <c r="I281" i="21"/>
  <c r="A281" i="21"/>
  <c r="I280" i="21"/>
  <c r="A280" i="21"/>
  <c r="I279" i="21"/>
  <c r="A279" i="21"/>
  <c r="I278" i="21"/>
  <c r="A278" i="21"/>
  <c r="I277" i="21"/>
  <c r="A277" i="21"/>
  <c r="I276" i="21"/>
  <c r="A276" i="21"/>
  <c r="I275" i="21"/>
  <c r="A275" i="21"/>
  <c r="I274" i="21"/>
  <c r="A274" i="21"/>
  <c r="I273" i="21"/>
  <c r="A273" i="21"/>
  <c r="I272" i="21"/>
  <c r="A272" i="21"/>
  <c r="I271" i="21"/>
  <c r="A271" i="21"/>
  <c r="I270" i="21"/>
  <c r="A270" i="21"/>
  <c r="I269" i="21"/>
  <c r="A269" i="21"/>
  <c r="I268" i="21"/>
  <c r="A268" i="21"/>
  <c r="I267" i="21"/>
  <c r="A267" i="21"/>
  <c r="I266" i="21"/>
  <c r="A266" i="21"/>
  <c r="I265" i="21"/>
  <c r="A265" i="21"/>
  <c r="I264" i="21"/>
  <c r="A264" i="21"/>
  <c r="I263" i="21"/>
  <c r="A263" i="21"/>
  <c r="I262" i="21"/>
  <c r="A262" i="21"/>
  <c r="I261" i="21"/>
  <c r="A261" i="21"/>
  <c r="I260" i="21"/>
  <c r="A260" i="21"/>
  <c r="I259" i="21"/>
  <c r="A259" i="21"/>
  <c r="I258" i="21"/>
  <c r="A258" i="21"/>
  <c r="I257" i="21"/>
  <c r="A257" i="21"/>
  <c r="I256" i="21"/>
  <c r="A256" i="21"/>
  <c r="I255" i="21"/>
  <c r="A255" i="21"/>
  <c r="I254" i="21"/>
  <c r="A254" i="21"/>
  <c r="I253" i="21"/>
  <c r="A253" i="21"/>
  <c r="I252" i="21"/>
  <c r="A252" i="21"/>
  <c r="I251" i="21"/>
  <c r="A251" i="21"/>
  <c r="I250" i="21"/>
  <c r="A250" i="21"/>
  <c r="I249" i="21"/>
  <c r="A249" i="21"/>
  <c r="I248" i="21"/>
  <c r="A248" i="21"/>
  <c r="I247" i="21"/>
  <c r="A247" i="21"/>
  <c r="I246" i="21"/>
  <c r="A246" i="21"/>
  <c r="I245" i="21"/>
  <c r="A245" i="21"/>
  <c r="I244" i="21"/>
  <c r="A244" i="21"/>
  <c r="I243" i="21"/>
  <c r="A243" i="21"/>
  <c r="I242" i="21"/>
  <c r="A242" i="21"/>
  <c r="I241" i="21"/>
  <c r="A241" i="21"/>
  <c r="I240" i="21"/>
  <c r="A240" i="21"/>
  <c r="I239" i="21"/>
  <c r="A239" i="21"/>
  <c r="I238" i="21"/>
  <c r="A238" i="21"/>
  <c r="I237" i="21"/>
  <c r="A237" i="21"/>
  <c r="I236" i="21"/>
  <c r="A236" i="21"/>
  <c r="I235" i="21"/>
  <c r="A235" i="21"/>
  <c r="I234" i="21"/>
  <c r="A234" i="21"/>
  <c r="I233" i="21"/>
  <c r="A233" i="21"/>
  <c r="I232" i="21"/>
  <c r="A232" i="21"/>
  <c r="I231" i="21"/>
  <c r="A231" i="21"/>
  <c r="I230" i="21"/>
  <c r="A230" i="21"/>
  <c r="I229" i="21"/>
  <c r="A229" i="21"/>
  <c r="I228" i="21"/>
  <c r="A228" i="21"/>
  <c r="I227" i="21"/>
  <c r="A227" i="21"/>
  <c r="I226" i="21"/>
  <c r="A226" i="21"/>
  <c r="I225" i="21"/>
  <c r="A225" i="21"/>
  <c r="I224" i="21"/>
  <c r="A224" i="21"/>
  <c r="I223" i="21"/>
  <c r="A223" i="21"/>
  <c r="I222" i="21"/>
  <c r="A222" i="21"/>
  <c r="I221" i="21"/>
  <c r="A221" i="21"/>
  <c r="I220" i="21"/>
  <c r="A220" i="21"/>
  <c r="I219" i="21"/>
  <c r="A219" i="21"/>
  <c r="I218" i="21"/>
  <c r="A218" i="21"/>
  <c r="I217" i="21"/>
  <c r="A217" i="21"/>
  <c r="I216" i="21"/>
  <c r="A216" i="21"/>
  <c r="I215" i="21"/>
  <c r="A215" i="21"/>
  <c r="I214" i="21"/>
  <c r="A214" i="21"/>
  <c r="I213" i="21"/>
  <c r="A213" i="21"/>
  <c r="I212" i="21"/>
  <c r="A212" i="21"/>
  <c r="I211" i="21"/>
  <c r="A211" i="21"/>
  <c r="I210" i="21"/>
  <c r="A210" i="21"/>
  <c r="I209" i="21"/>
  <c r="A209" i="21"/>
  <c r="I208" i="21"/>
  <c r="A208" i="21"/>
  <c r="I207" i="21"/>
  <c r="A207" i="21"/>
  <c r="I206" i="21"/>
  <c r="A206" i="21"/>
  <c r="I205" i="21"/>
  <c r="A205" i="21"/>
  <c r="I204" i="21"/>
  <c r="A204" i="21"/>
  <c r="I203" i="21"/>
  <c r="A203" i="21"/>
  <c r="I202" i="21"/>
  <c r="A202" i="21"/>
  <c r="I201" i="21"/>
  <c r="A201" i="21"/>
  <c r="I200" i="21"/>
  <c r="A200" i="21"/>
  <c r="I199" i="21"/>
  <c r="A199" i="21"/>
  <c r="I198" i="21"/>
  <c r="A198" i="21"/>
  <c r="I197" i="21"/>
  <c r="A197" i="21"/>
  <c r="I196" i="21"/>
  <c r="A196" i="21"/>
  <c r="I195" i="21"/>
  <c r="A195" i="21"/>
  <c r="I194" i="21"/>
  <c r="A194" i="21"/>
  <c r="I193" i="21"/>
  <c r="A193" i="21"/>
  <c r="I192" i="21"/>
  <c r="A192" i="21"/>
  <c r="I191" i="21"/>
  <c r="A191" i="21"/>
  <c r="I190" i="21"/>
  <c r="A190" i="21"/>
  <c r="I189" i="21"/>
  <c r="A189" i="21"/>
  <c r="I188" i="21"/>
  <c r="A188" i="21"/>
  <c r="I187" i="21"/>
  <c r="A187" i="21"/>
  <c r="I186" i="21"/>
  <c r="A186" i="21"/>
  <c r="I185" i="21"/>
  <c r="A185" i="21"/>
  <c r="I184" i="21"/>
  <c r="A184" i="21"/>
  <c r="I183" i="21"/>
  <c r="A183" i="21"/>
  <c r="I182" i="21"/>
  <c r="A182" i="21"/>
  <c r="I181" i="21"/>
  <c r="A181" i="21"/>
  <c r="I180" i="21"/>
  <c r="A180" i="21"/>
  <c r="I179" i="21"/>
  <c r="A179" i="21"/>
  <c r="I178" i="21"/>
  <c r="A178" i="21"/>
  <c r="I177" i="21"/>
  <c r="A177" i="21"/>
  <c r="I176" i="21"/>
  <c r="A176" i="21"/>
  <c r="I175" i="21"/>
  <c r="A175" i="21"/>
  <c r="I174" i="21"/>
  <c r="A174" i="21"/>
  <c r="I173" i="21"/>
  <c r="A173" i="21"/>
  <c r="I172" i="21"/>
  <c r="A172" i="21"/>
  <c r="I171" i="21"/>
  <c r="A171" i="21"/>
  <c r="I170" i="21"/>
  <c r="A170" i="21"/>
  <c r="I169" i="21"/>
  <c r="A169" i="21"/>
  <c r="I168" i="21"/>
  <c r="A168" i="21"/>
  <c r="I167" i="21"/>
  <c r="A167" i="21"/>
  <c r="I166" i="21"/>
  <c r="A166" i="21"/>
  <c r="I165" i="21"/>
  <c r="A165" i="21"/>
  <c r="I164" i="21"/>
  <c r="A164" i="21"/>
  <c r="I163" i="21"/>
  <c r="A163" i="21"/>
  <c r="I162" i="21"/>
  <c r="A162" i="21"/>
  <c r="I161" i="21"/>
  <c r="A161" i="21"/>
  <c r="I160" i="21"/>
  <c r="A160" i="21"/>
  <c r="I159" i="21"/>
  <c r="A159" i="21"/>
  <c r="I158" i="21"/>
  <c r="A158" i="21"/>
  <c r="I157" i="21"/>
  <c r="A157" i="21"/>
  <c r="I156" i="21"/>
  <c r="A156" i="21"/>
  <c r="I155" i="21"/>
  <c r="A155" i="21"/>
  <c r="I154" i="21"/>
  <c r="A154" i="21"/>
  <c r="I153" i="21"/>
  <c r="A153" i="21"/>
  <c r="I152" i="21"/>
  <c r="A152" i="21"/>
  <c r="I151" i="21"/>
  <c r="A151" i="21"/>
  <c r="I150" i="21"/>
  <c r="A150" i="21"/>
  <c r="I149" i="21"/>
  <c r="A149" i="21"/>
  <c r="I148" i="21"/>
  <c r="A148" i="21"/>
  <c r="I147" i="21"/>
  <c r="A147" i="21"/>
  <c r="I146" i="21"/>
  <c r="A146" i="21"/>
  <c r="I145" i="21"/>
  <c r="A145" i="21"/>
  <c r="I144" i="21"/>
  <c r="A144" i="21"/>
  <c r="I143" i="21"/>
  <c r="A143" i="21"/>
  <c r="I142" i="21"/>
  <c r="A142" i="21"/>
  <c r="I141" i="21"/>
  <c r="A141" i="21"/>
  <c r="I140" i="21"/>
  <c r="A140" i="21"/>
  <c r="I139" i="21"/>
  <c r="A139" i="21"/>
  <c r="I138" i="21"/>
  <c r="A138" i="21"/>
  <c r="I137" i="21"/>
  <c r="A137" i="21"/>
  <c r="I136" i="21"/>
  <c r="A136" i="21"/>
  <c r="I135" i="21"/>
  <c r="A135" i="21"/>
  <c r="I134" i="21"/>
  <c r="A134" i="21"/>
  <c r="I133" i="21"/>
  <c r="A133" i="21"/>
  <c r="I132" i="21"/>
  <c r="A132" i="21"/>
  <c r="I131" i="21"/>
  <c r="A131" i="21"/>
  <c r="I130" i="21"/>
  <c r="A130" i="21"/>
  <c r="I129" i="21"/>
  <c r="A129" i="21"/>
  <c r="I128" i="21"/>
  <c r="A128" i="21"/>
  <c r="I127" i="21"/>
  <c r="A127" i="21"/>
  <c r="I126" i="21"/>
  <c r="A126" i="21"/>
  <c r="I125" i="21"/>
  <c r="A125" i="21"/>
  <c r="I124" i="21"/>
  <c r="A124" i="21"/>
  <c r="I123" i="21"/>
  <c r="A123" i="21"/>
  <c r="I122" i="21"/>
  <c r="A122" i="21"/>
  <c r="I121" i="21"/>
  <c r="A121" i="21"/>
  <c r="I120" i="21"/>
  <c r="A120" i="21"/>
  <c r="I119" i="21"/>
  <c r="A119" i="21"/>
  <c r="I118" i="21"/>
  <c r="A118" i="21"/>
  <c r="I117" i="21"/>
  <c r="A117" i="21"/>
  <c r="I116" i="21"/>
  <c r="A116" i="21"/>
  <c r="I115" i="21"/>
  <c r="A115" i="21"/>
  <c r="I114" i="21"/>
  <c r="A114" i="21"/>
  <c r="I113" i="21"/>
  <c r="A113" i="21"/>
  <c r="I112" i="21"/>
  <c r="A112" i="21"/>
  <c r="I111" i="21"/>
  <c r="A111" i="21"/>
  <c r="I110" i="21"/>
  <c r="A110" i="21"/>
  <c r="I109" i="21"/>
  <c r="A109" i="21"/>
  <c r="I108" i="21"/>
  <c r="A108" i="21"/>
  <c r="I107" i="21"/>
  <c r="A107" i="21"/>
  <c r="I106" i="21"/>
  <c r="A106" i="21"/>
  <c r="I105" i="21"/>
  <c r="A105" i="21"/>
  <c r="I104" i="21"/>
  <c r="A104" i="21"/>
  <c r="I103" i="21"/>
  <c r="A103" i="21"/>
  <c r="I102" i="21"/>
  <c r="A102" i="21"/>
  <c r="I101" i="21"/>
  <c r="A101" i="21"/>
  <c r="I100" i="21"/>
  <c r="A100" i="21"/>
  <c r="I99" i="21"/>
  <c r="A99" i="21"/>
  <c r="I98" i="21"/>
  <c r="A98" i="21"/>
  <c r="I97" i="21"/>
  <c r="A97" i="21"/>
  <c r="I96" i="21"/>
  <c r="A96" i="21"/>
  <c r="I95" i="21"/>
  <c r="A95" i="21"/>
  <c r="I94" i="21"/>
  <c r="A94" i="21"/>
  <c r="I93" i="21"/>
  <c r="A93" i="21"/>
  <c r="I92" i="21"/>
  <c r="A92" i="21"/>
  <c r="I91" i="21"/>
  <c r="A91" i="21"/>
  <c r="I90" i="21"/>
  <c r="A90" i="21"/>
  <c r="I89" i="21"/>
  <c r="A89" i="21"/>
  <c r="I88" i="21"/>
  <c r="A88" i="21"/>
  <c r="I87" i="21"/>
  <c r="A87" i="21"/>
  <c r="I86" i="21"/>
  <c r="A86" i="21"/>
  <c r="I85" i="21"/>
  <c r="A85" i="21"/>
  <c r="I84" i="21"/>
  <c r="A84" i="21"/>
  <c r="I83" i="21"/>
  <c r="A83" i="21"/>
  <c r="I82" i="21"/>
  <c r="A82" i="21"/>
  <c r="I81" i="21"/>
  <c r="A81" i="21"/>
  <c r="I80" i="21"/>
  <c r="A80" i="21"/>
  <c r="I79" i="21"/>
  <c r="A79" i="21"/>
  <c r="I78" i="21"/>
  <c r="A78" i="21"/>
  <c r="I77" i="21"/>
  <c r="A77" i="21"/>
  <c r="I76" i="21"/>
  <c r="A76" i="21"/>
  <c r="I75" i="21"/>
  <c r="A75" i="21"/>
  <c r="I74" i="21"/>
  <c r="A74" i="21"/>
  <c r="I73" i="21"/>
  <c r="A73" i="21"/>
  <c r="I72" i="21"/>
  <c r="A72" i="21"/>
  <c r="I71" i="21"/>
  <c r="A71" i="21"/>
  <c r="I70" i="21"/>
  <c r="A70" i="21"/>
  <c r="I69" i="21"/>
  <c r="A69" i="21"/>
  <c r="I68" i="21"/>
  <c r="A68" i="21"/>
  <c r="I67" i="21"/>
  <c r="A67" i="21"/>
  <c r="I66" i="21"/>
  <c r="A66" i="21"/>
  <c r="I65" i="21"/>
  <c r="A65" i="21"/>
  <c r="I64" i="21"/>
  <c r="A64" i="21"/>
  <c r="I63" i="21"/>
  <c r="A63" i="21"/>
  <c r="I62" i="21"/>
  <c r="A62" i="21"/>
  <c r="I61" i="21"/>
  <c r="A61" i="21"/>
  <c r="I60" i="21"/>
  <c r="A60" i="21"/>
  <c r="I59" i="21"/>
  <c r="A59" i="21"/>
  <c r="I58" i="21"/>
  <c r="A58" i="21"/>
  <c r="I57" i="21"/>
  <c r="A57" i="21"/>
  <c r="I56" i="21"/>
  <c r="A56" i="21"/>
  <c r="I55" i="21"/>
  <c r="A55" i="21"/>
  <c r="I54" i="21"/>
  <c r="A54" i="21"/>
  <c r="I53" i="21"/>
  <c r="A53" i="21"/>
  <c r="I52" i="21"/>
  <c r="A52" i="21"/>
  <c r="I51" i="21"/>
  <c r="A51" i="21"/>
  <c r="I50" i="21"/>
  <c r="A50" i="21"/>
  <c r="I49" i="21"/>
  <c r="A49" i="21"/>
  <c r="I48" i="21"/>
  <c r="A48" i="21"/>
  <c r="I47" i="21"/>
  <c r="A47" i="21"/>
  <c r="I46" i="21"/>
  <c r="A46" i="21"/>
  <c r="I45" i="21"/>
  <c r="A45" i="21"/>
  <c r="I44" i="21"/>
  <c r="A44" i="21"/>
  <c r="I43" i="21"/>
  <c r="A43" i="21"/>
  <c r="I42" i="21"/>
  <c r="A42" i="21"/>
  <c r="I41" i="21"/>
  <c r="A41" i="21"/>
  <c r="I40" i="21"/>
  <c r="A40" i="21"/>
  <c r="I39" i="21"/>
  <c r="A39" i="21"/>
  <c r="I38" i="21"/>
  <c r="A38" i="21"/>
  <c r="I37" i="21"/>
  <c r="A37" i="21"/>
  <c r="I36" i="21"/>
  <c r="A36" i="21"/>
  <c r="I35" i="21"/>
  <c r="A35" i="21"/>
  <c r="I34" i="21"/>
  <c r="A34" i="21"/>
  <c r="I33" i="21"/>
  <c r="A33" i="21"/>
  <c r="I32" i="21"/>
  <c r="A32" i="21"/>
  <c r="I31" i="21"/>
  <c r="A31" i="21"/>
  <c r="I30" i="21"/>
  <c r="A30" i="21"/>
  <c r="I29" i="21"/>
  <c r="A29" i="21"/>
  <c r="I28" i="21"/>
  <c r="A28" i="21"/>
  <c r="I27" i="21"/>
  <c r="A27" i="21"/>
  <c r="I26" i="21"/>
  <c r="A26" i="21"/>
  <c r="I25" i="21"/>
  <c r="A25" i="21"/>
  <c r="I24" i="21"/>
  <c r="A24" i="21"/>
  <c r="I23" i="21"/>
  <c r="A23" i="21"/>
  <c r="I22" i="21"/>
  <c r="A22" i="21"/>
  <c r="I21" i="21"/>
  <c r="A21" i="21"/>
  <c r="I20" i="21"/>
  <c r="A20" i="21"/>
  <c r="I19" i="21"/>
  <c r="A19" i="21"/>
  <c r="I18" i="21"/>
  <c r="A18" i="21"/>
  <c r="I17" i="21"/>
  <c r="A17" i="21"/>
  <c r="I16" i="21"/>
  <c r="A16" i="21"/>
  <c r="I15" i="21"/>
  <c r="A15" i="21"/>
  <c r="I14" i="21"/>
  <c r="A14" i="21"/>
  <c r="I13" i="21"/>
  <c r="A13" i="21"/>
  <c r="I12" i="21"/>
  <c r="A12" i="21"/>
  <c r="I11" i="21"/>
  <c r="A11" i="21"/>
  <c r="I10" i="21"/>
  <c r="A10" i="21"/>
  <c r="I9" i="21"/>
  <c r="A9" i="21"/>
  <c r="I8" i="21"/>
  <c r="A8" i="21"/>
  <c r="I7" i="21"/>
  <c r="A7" i="21"/>
  <c r="I6" i="21"/>
  <c r="A6" i="21"/>
  <c r="I5" i="21"/>
  <c r="A5" i="21"/>
  <c r="I4" i="21"/>
  <c r="A4" i="21"/>
  <c r="I3" i="21"/>
  <c r="A3" i="21"/>
  <c r="I2" i="21"/>
  <c r="I675" i="21" s="1"/>
  <c r="A2" i="21"/>
  <c r="P536" i="1"/>
  <c r="P535" i="1"/>
  <c r="P529" i="1"/>
  <c r="P522" i="1"/>
  <c r="P520" i="1"/>
  <c r="P500" i="1"/>
  <c r="P499" i="1"/>
  <c r="P494" i="1"/>
  <c r="P493" i="1"/>
  <c r="P492" i="1"/>
  <c r="P488" i="1"/>
  <c r="P487" i="1"/>
  <c r="P486" i="1"/>
  <c r="P482" i="1"/>
  <c r="P481" i="1"/>
  <c r="P456" i="1"/>
  <c r="P452" i="1"/>
  <c r="P449" i="1"/>
  <c r="P446" i="1"/>
  <c r="P440" i="1"/>
  <c r="P439" i="1"/>
  <c r="P429" i="1"/>
  <c r="P426" i="1"/>
  <c r="P414" i="1"/>
  <c r="P413" i="1"/>
  <c r="P411" i="1"/>
  <c r="P406" i="1"/>
  <c r="P403" i="1"/>
  <c r="P398" i="1"/>
  <c r="P390" i="1"/>
  <c r="P388" i="1"/>
  <c r="P383" i="1"/>
  <c r="P377" i="1"/>
  <c r="P372" i="1"/>
  <c r="P371" i="1"/>
  <c r="P370" i="1"/>
  <c r="P358" i="1"/>
  <c r="P347" i="1"/>
  <c r="P346" i="1"/>
  <c r="P344" i="1"/>
  <c r="P340" i="1"/>
  <c r="P336" i="1"/>
  <c r="P335" i="1"/>
  <c r="P329" i="1"/>
  <c r="P328" i="1"/>
  <c r="P324" i="1"/>
  <c r="P322" i="1"/>
  <c r="P309" i="1"/>
  <c r="P307" i="1"/>
  <c r="P286" i="1"/>
  <c r="P284" i="1"/>
  <c r="P283" i="1"/>
  <c r="P273" i="1"/>
  <c r="P270" i="1"/>
  <c r="P264" i="1"/>
  <c r="P248" i="1"/>
  <c r="P241" i="1"/>
  <c r="P233" i="1"/>
  <c r="P232" i="1"/>
  <c r="P228" i="1"/>
  <c r="P225" i="1"/>
  <c r="P204" i="1"/>
  <c r="P198" i="1"/>
  <c r="P197" i="1"/>
  <c r="P190" i="1"/>
  <c r="P189" i="1"/>
  <c r="P184" i="1"/>
  <c r="P177" i="1"/>
  <c r="P159" i="1"/>
  <c r="P151" i="1"/>
  <c r="P148" i="1"/>
  <c r="P54" i="1"/>
  <c r="P53" i="1"/>
  <c r="P47" i="1"/>
  <c r="P43" i="1"/>
  <c r="P37" i="1"/>
  <c r="P30" i="1"/>
  <c r="P7" i="1" l="1"/>
  <c r="P46" i="1"/>
  <c r="P66" i="1"/>
  <c r="P72" i="1"/>
  <c r="P116" i="1"/>
  <c r="P125" i="1"/>
  <c r="AJ677" i="1"/>
  <c r="P179" i="1"/>
  <c r="P550" i="1"/>
  <c r="P51" i="1"/>
  <c r="P77" i="1"/>
  <c r="P84" i="1"/>
  <c r="P90" i="1"/>
  <c r="P97" i="1"/>
  <c r="P108" i="1"/>
  <c r="P115" i="1"/>
  <c r="P122" i="1"/>
  <c r="P145" i="1"/>
  <c r="P160" i="1"/>
  <c r="P166" i="1"/>
  <c r="P173" i="1"/>
  <c r="P147" i="1"/>
  <c r="P154" i="1"/>
  <c r="P21" i="1"/>
  <c r="P34" i="1"/>
  <c r="P258" i="1"/>
  <c r="P59" i="1"/>
  <c r="P17" i="1"/>
  <c r="P265" i="1"/>
  <c r="P23" i="1"/>
  <c r="P29" i="1"/>
  <c r="P42" i="1"/>
  <c r="P73" i="1"/>
  <c r="P93" i="1"/>
  <c r="P111" i="1"/>
  <c r="P140" i="1"/>
  <c r="P168" i="1"/>
  <c r="P174" i="1"/>
  <c r="P229" i="1"/>
  <c r="P275" i="1"/>
  <c r="P304" i="1"/>
  <c r="P341" i="1"/>
  <c r="P351" i="1"/>
  <c r="P87" i="1"/>
  <c r="P63" i="1"/>
  <c r="P83" i="1"/>
  <c r="P107" i="1"/>
  <c r="P114" i="1"/>
  <c r="P137" i="1"/>
  <c r="P158" i="1"/>
  <c r="P182" i="1"/>
  <c r="P188" i="1"/>
  <c r="P223" i="1"/>
  <c r="P261" i="1"/>
  <c r="P491" i="1"/>
  <c r="P519" i="1"/>
  <c r="P527" i="1"/>
  <c r="P32" i="1"/>
  <c r="P104" i="1"/>
  <c r="P133" i="1"/>
  <c r="P208" i="1"/>
  <c r="P214" i="1"/>
  <c r="P20" i="1"/>
  <c r="P26" i="1"/>
  <c r="P33" i="1"/>
  <c r="P39" i="1"/>
  <c r="P56" i="1"/>
  <c r="P216" i="1"/>
  <c r="P246" i="1"/>
  <c r="P484" i="1"/>
  <c r="P113" i="1"/>
  <c r="P71" i="1"/>
  <c r="P12" i="1"/>
  <c r="P61" i="1"/>
  <c r="P75" i="1"/>
  <c r="P195" i="1"/>
  <c r="P221" i="1"/>
  <c r="P259" i="1"/>
  <c r="P313" i="1"/>
  <c r="P260" i="1"/>
  <c r="P315" i="1"/>
  <c r="P366" i="1"/>
  <c r="P121" i="1"/>
  <c r="P67" i="1"/>
  <c r="P102" i="1"/>
  <c r="P38" i="1"/>
  <c r="P219" i="1"/>
  <c r="P207" i="1"/>
  <c r="P15" i="1"/>
  <c r="P200" i="1"/>
  <c r="P27" i="1"/>
  <c r="P141" i="1"/>
  <c r="P394" i="1"/>
  <c r="P22" i="1"/>
  <c r="P89" i="1"/>
  <c r="P135" i="1"/>
  <c r="P187" i="1"/>
  <c r="P230" i="1"/>
  <c r="P237" i="1"/>
  <c r="P332" i="1"/>
  <c r="P49" i="1"/>
  <c r="P60" i="1"/>
  <c r="P85" i="1"/>
  <c r="P155" i="1"/>
  <c r="P247" i="1"/>
  <c r="P325" i="1"/>
  <c r="P373" i="1"/>
  <c r="P400" i="1"/>
  <c r="P430" i="1"/>
  <c r="P444" i="1"/>
  <c r="P450" i="1"/>
  <c r="P301" i="1"/>
  <c r="P165" i="1"/>
  <c r="P41" i="1"/>
  <c r="P68" i="1"/>
  <c r="P79" i="1"/>
  <c r="P157" i="1"/>
  <c r="P163" i="1"/>
  <c r="P170" i="1"/>
  <c r="P181" i="1"/>
  <c r="P213" i="1"/>
  <c r="P277" i="1"/>
  <c r="P306" i="1"/>
  <c r="P326" i="1"/>
  <c r="P386" i="1"/>
  <c r="P409" i="1"/>
  <c r="P445" i="1"/>
  <c r="P451" i="1"/>
  <c r="P674" i="1"/>
  <c r="P19" i="1"/>
  <c r="P162" i="1"/>
  <c r="P206" i="1"/>
  <c r="P149" i="1"/>
  <c r="P94" i="1"/>
  <c r="P24" i="1"/>
  <c r="P81" i="1"/>
  <c r="P88" i="1"/>
  <c r="P95" i="1"/>
  <c r="P112" i="1"/>
  <c r="P152" i="1"/>
  <c r="P172" i="1"/>
  <c r="P202" i="1"/>
  <c r="P255" i="1"/>
  <c r="P343" i="1"/>
  <c r="P354" i="1"/>
  <c r="P175" i="1"/>
  <c r="P418" i="1"/>
  <c r="P117" i="1"/>
  <c r="P55" i="1"/>
  <c r="P305" i="1"/>
  <c r="P50" i="1"/>
  <c r="P300" i="1"/>
  <c r="P263" i="1"/>
  <c r="P217" i="1"/>
  <c r="P52" i="1"/>
  <c r="P65" i="1"/>
  <c r="P76" i="1"/>
  <c r="P142" i="1"/>
  <c r="P199" i="1"/>
  <c r="P211" i="1"/>
  <c r="P243" i="1"/>
  <c r="P302" i="1"/>
  <c r="P401" i="1"/>
  <c r="P457" i="1"/>
  <c r="P483" i="1"/>
  <c r="P525" i="1"/>
  <c r="P572" i="1"/>
  <c r="P580" i="1"/>
  <c r="P613" i="1"/>
  <c r="P86" i="1"/>
  <c r="P220" i="1"/>
  <c r="P333" i="1"/>
  <c r="P210" i="1"/>
  <c r="P18" i="1"/>
  <c r="P35" i="1"/>
  <c r="P45" i="1"/>
  <c r="P96" i="1"/>
  <c r="P144" i="1"/>
  <c r="P150" i="1"/>
  <c r="P169" i="1"/>
  <c r="P194" i="1"/>
  <c r="P222" i="1"/>
  <c r="P235" i="1"/>
  <c r="P242" i="1"/>
  <c r="P563" i="1"/>
  <c r="P584" i="1"/>
  <c r="P631" i="1"/>
  <c r="P569" i="1"/>
  <c r="P276" i="1"/>
  <c r="P58" i="1"/>
  <c r="P267" i="1"/>
  <c r="P183" i="1"/>
  <c r="P178" i="1"/>
  <c r="P489" i="1"/>
  <c r="P138" i="1"/>
  <c r="P405" i="1"/>
  <c r="P57" i="1"/>
  <c r="P74" i="1"/>
  <c r="P118" i="1"/>
  <c r="P139" i="1"/>
  <c r="P180" i="1"/>
  <c r="P186" i="1"/>
  <c r="P239" i="1"/>
  <c r="P298" i="1"/>
  <c r="P303" i="1"/>
  <c r="P327" i="1"/>
  <c r="P342" i="1"/>
  <c r="P352" i="1"/>
  <c r="P384" i="1"/>
  <c r="P399" i="1"/>
  <c r="P548" i="1"/>
  <c r="P561" i="1"/>
  <c r="P568" i="1"/>
  <c r="P667" i="1"/>
  <c r="P676" i="1"/>
  <c r="P129" i="1"/>
  <c r="P268" i="1"/>
  <c r="P109" i="1"/>
  <c r="P103" i="1"/>
  <c r="P185" i="1"/>
  <c r="P4" i="1"/>
  <c r="P25" i="1"/>
  <c r="P357" i="1"/>
  <c r="P171" i="1"/>
  <c r="P5" i="1"/>
  <c r="P78" i="1"/>
  <c r="P161" i="1"/>
  <c r="P69" i="1"/>
  <c r="P317" i="1"/>
  <c r="P28" i="1"/>
  <c r="P70" i="1"/>
  <c r="P80" i="1"/>
  <c r="P201" i="1"/>
  <c r="P212" i="1"/>
  <c r="P218" i="1"/>
  <c r="P308" i="1"/>
  <c r="P318" i="1"/>
  <c r="P419" i="1"/>
  <c r="P458" i="1"/>
  <c r="P495" i="1"/>
  <c r="P502" i="1"/>
  <c r="P530" i="1"/>
  <c r="P562" i="1"/>
  <c r="P662" i="1"/>
  <c r="P557" i="1"/>
  <c r="P565" i="1"/>
  <c r="P566" i="1"/>
  <c r="P621" i="1"/>
  <c r="P627" i="1"/>
  <c r="P573" i="1"/>
  <c r="P581" i="1"/>
  <c r="P588" i="1"/>
  <c r="P637" i="1"/>
  <c r="P651" i="1"/>
  <c r="P657" i="1"/>
  <c r="P666" i="1"/>
  <c r="P574" i="1"/>
  <c r="P607" i="1"/>
  <c r="P615" i="1"/>
  <c r="P623" i="1"/>
  <c r="P402" i="1"/>
  <c r="P397" i="1"/>
  <c r="P417" i="1"/>
  <c r="P509" i="1"/>
  <c r="P362" i="1"/>
  <c r="P465" i="1"/>
  <c r="P552" i="1"/>
  <c r="P196" i="1"/>
  <c r="P553" i="1"/>
  <c r="P16" i="1"/>
  <c r="P40" i="1"/>
  <c r="P119" i="1"/>
  <c r="P176" i="1"/>
  <c r="P395" i="1"/>
  <c r="P436" i="1"/>
  <c r="P459" i="1"/>
  <c r="P479" i="1"/>
  <c r="P490" i="1"/>
  <c r="P503" i="1"/>
  <c r="P516" i="1"/>
  <c r="P546" i="1"/>
  <c r="P556" i="1"/>
  <c r="P36" i="1"/>
  <c r="P376" i="1"/>
  <c r="P447" i="1"/>
  <c r="P526" i="1"/>
  <c r="P590" i="1"/>
  <c r="P600" i="1"/>
  <c r="P643" i="1"/>
  <c r="P602" i="1"/>
  <c r="P619" i="1"/>
  <c r="P625" i="1"/>
  <c r="P672" i="1"/>
  <c r="P558" i="1"/>
  <c r="P571" i="1"/>
  <c r="P585" i="1"/>
  <c r="P595" i="1"/>
  <c r="P603" i="1"/>
  <c r="P663" i="1"/>
  <c r="P511" i="1"/>
  <c r="P299" i="1"/>
  <c r="P106" i="1"/>
  <c r="P330" i="1"/>
  <c r="P461" i="1"/>
  <c r="P485" i="1"/>
  <c r="P8" i="1"/>
  <c r="P48" i="1"/>
  <c r="P92" i="1"/>
  <c r="P238" i="1"/>
  <c r="P364" i="1"/>
  <c r="P369" i="1"/>
  <c r="P396" i="1"/>
  <c r="P423" i="1"/>
  <c r="P434" i="1"/>
  <c r="P455" i="1"/>
  <c r="P510" i="1"/>
  <c r="P533" i="1"/>
  <c r="P589" i="1"/>
  <c r="P596" i="1"/>
  <c r="P231" i="1"/>
  <c r="P393" i="1"/>
  <c r="P469" i="1"/>
  <c r="P549" i="1"/>
  <c r="P501" i="1"/>
  <c r="P44" i="1"/>
  <c r="P164" i="1"/>
  <c r="P234" i="1"/>
  <c r="P266" i="1"/>
  <c r="P375" i="1"/>
  <c r="P474" i="1"/>
  <c r="P523" i="1"/>
  <c r="P540" i="1"/>
  <c r="P583" i="1"/>
  <c r="P620" i="1"/>
  <c r="P656" i="1"/>
  <c r="P609" i="1"/>
  <c r="P645" i="1"/>
  <c r="P658" i="1"/>
  <c r="P453" i="1"/>
  <c r="P209" i="1"/>
  <c r="P387" i="1"/>
  <c r="P407" i="1"/>
  <c r="P412" i="1"/>
  <c r="P460" i="1"/>
  <c r="P498" i="1"/>
  <c r="P504" i="1"/>
  <c r="P531" i="1"/>
  <c r="P542" i="1"/>
  <c r="P599" i="1"/>
  <c r="P611" i="1"/>
  <c r="P617" i="1"/>
  <c r="P629" i="1"/>
  <c r="P635" i="1"/>
  <c r="P653" i="1"/>
  <c r="P671" i="1"/>
  <c r="P636" i="1"/>
  <c r="P648" i="1"/>
  <c r="P655" i="1"/>
  <c r="P673" i="1"/>
  <c r="P675" i="1"/>
  <c r="P570" i="1"/>
  <c r="P586" i="1"/>
  <c r="P579" i="1"/>
  <c r="P432" i="1"/>
  <c r="P448" i="1"/>
  <c r="P480" i="1"/>
  <c r="P496" i="1"/>
  <c r="P512" i="1"/>
  <c r="P528" i="1"/>
  <c r="P560" i="1"/>
  <c r="P576" i="1"/>
  <c r="P592" i="1"/>
  <c r="P624" i="1"/>
  <c r="P582" i="1"/>
  <c r="P598" i="1"/>
  <c r="P614" i="1"/>
  <c r="P630" i="1"/>
  <c r="P646" i="1"/>
  <c r="P652" i="1"/>
  <c r="P578" i="1"/>
  <c r="P610" i="1"/>
  <c r="P626" i="1"/>
  <c r="P664" i="1"/>
  <c r="P606" i="1"/>
  <c r="P622" i="1"/>
  <c r="P638" i="1"/>
  <c r="P654" i="1"/>
  <c r="P604" i="1"/>
  <c r="P567" i="1"/>
  <c r="P628" i="1"/>
  <c r="P660" i="1"/>
  <c r="P454" i="1" l="1"/>
  <c r="P513" i="1"/>
  <c r="P338" i="1"/>
  <c r="P316" i="1"/>
  <c r="P416" i="1"/>
  <c r="P245" i="1"/>
  <c r="P670" i="1"/>
  <c r="P612" i="1"/>
  <c r="P475" i="1"/>
  <c r="P577" i="1"/>
  <c r="P274" i="1"/>
  <c r="P227" i="1"/>
  <c r="P515" i="1"/>
  <c r="P632" i="1"/>
  <c r="P253" i="1"/>
  <c r="P644" i="1"/>
  <c r="P132" i="1"/>
  <c r="P291" i="1"/>
  <c r="P287" i="1"/>
  <c r="P360" i="1"/>
  <c r="P193" i="1"/>
  <c r="P10" i="1"/>
  <c r="P634" i="1"/>
  <c r="P337" i="1"/>
  <c r="P404" i="1" l="1"/>
  <c r="P64" i="1"/>
  <c r="P389" i="1"/>
  <c r="P331" i="1"/>
  <c r="P633" i="1"/>
  <c r="P431" i="1"/>
  <c r="P514" i="1"/>
  <c r="P215" i="1"/>
  <c r="P321" i="1"/>
  <c r="P14" i="1"/>
  <c r="P11" i="1"/>
  <c r="P293" i="1"/>
  <c r="P605" i="1"/>
  <c r="P98" i="1"/>
  <c r="P288" i="1"/>
  <c r="P252" i="1"/>
  <c r="P462" i="1"/>
  <c r="P392" i="1"/>
  <c r="P427" i="1"/>
  <c r="P385" i="1"/>
  <c r="P466" i="1"/>
  <c r="P587" i="1"/>
  <c r="P271" i="1"/>
  <c r="P476" i="1"/>
  <c r="P508" i="1"/>
  <c r="P517" i="1"/>
  <c r="P639" i="1"/>
  <c r="P126" i="1"/>
  <c r="P597" i="1"/>
  <c r="P642" i="1"/>
  <c r="P278" i="1"/>
  <c r="P319" i="1"/>
  <c r="P62" i="1"/>
  <c r="P668" i="1"/>
  <c r="P649" i="1"/>
  <c r="P665" i="1"/>
  <c r="P356" i="1"/>
  <c r="P463" i="1"/>
  <c r="P539" i="1"/>
  <c r="P555" i="1"/>
  <c r="P507" i="1"/>
  <c r="P544" i="1"/>
  <c r="P564" i="1"/>
  <c r="P641" i="1"/>
  <c r="P420" i="1"/>
  <c r="P240" i="1"/>
  <c r="P443" i="1"/>
  <c r="P534" i="1"/>
  <c r="P382" i="1"/>
  <c r="P13" i="1"/>
  <c r="P294" i="1"/>
  <c r="P467" i="1"/>
  <c r="P100" i="1"/>
  <c r="P296" i="1"/>
  <c r="P422" i="1"/>
  <c r="P433" i="1"/>
  <c r="P205" i="1"/>
  <c r="P355" i="1"/>
  <c r="P361" i="1"/>
  <c r="P593" i="1"/>
  <c r="P282" i="1"/>
  <c r="P101" i="1"/>
  <c r="P146" i="1"/>
  <c r="P236" i="1"/>
  <c r="P669" i="1"/>
  <c r="P543" i="1"/>
  <c r="P470" i="1"/>
  <c r="P124" i="1"/>
  <c r="P380" i="1"/>
  <c r="P647" i="1"/>
  <c r="P134" i="1"/>
  <c r="P334" i="1"/>
  <c r="P618" i="1"/>
  <c r="P554" i="1"/>
  <c r="P348" i="1"/>
  <c r="P659" i="1"/>
  <c r="P156" i="1"/>
  <c r="P379" i="1"/>
  <c r="P497" i="1"/>
  <c r="P428" i="1"/>
  <c r="P311" i="1"/>
  <c r="P537" i="1"/>
  <c r="P262" i="1"/>
  <c r="P547" i="1"/>
  <c r="P289" i="1"/>
  <c r="P591" i="1"/>
  <c r="P378" i="1"/>
  <c r="P131" i="1"/>
  <c r="P285" i="1"/>
  <c r="P192" i="1"/>
  <c r="P601" i="1"/>
  <c r="P272" i="1"/>
  <c r="P153" i="1"/>
  <c r="P640" i="1"/>
  <c r="P478" i="1"/>
  <c r="P120" i="1"/>
  <c r="P437" i="1"/>
  <c r="P110" i="1"/>
  <c r="P532" i="1"/>
  <c r="P477" i="1"/>
  <c r="P224" i="1"/>
  <c r="P323" i="1"/>
  <c r="P31" i="1"/>
  <c r="P105" i="1"/>
  <c r="P438" i="1"/>
  <c r="P368" i="1"/>
  <c r="P442" i="1"/>
  <c r="P310" i="1"/>
  <c r="P281" i="1"/>
  <c r="P545" i="1"/>
  <c r="P353" i="1"/>
  <c r="P143" i="1"/>
  <c r="P381" i="1"/>
  <c r="P616" i="1"/>
  <c r="P472" i="1"/>
  <c r="P408" i="1"/>
  <c r="P256" i="1"/>
  <c r="P127" i="1"/>
  <c r="P410" i="1"/>
  <c r="P350" i="1"/>
  <c r="P269" i="1"/>
  <c r="P292" i="1"/>
  <c r="P575" i="1"/>
  <c r="P551" i="1"/>
  <c r="P471" i="1"/>
  <c r="P468" i="1"/>
  <c r="P91" i="1"/>
  <c r="P473" i="1"/>
  <c r="P130" i="1"/>
  <c r="P421" i="1"/>
  <c r="P257" i="1"/>
  <c r="P249" i="1"/>
  <c r="P521" i="1"/>
  <c r="P280" i="1"/>
  <c r="P425" i="1"/>
  <c r="P9" i="1"/>
  <c r="P367" i="1"/>
  <c r="P365" i="1"/>
  <c r="P250" i="1"/>
  <c r="P203" i="1"/>
  <c r="P524" i="1"/>
  <c r="P391" i="1"/>
  <c r="P191" i="1"/>
  <c r="P541" i="1"/>
  <c r="P136" i="1"/>
  <c r="P464" i="1"/>
  <c r="P506" i="1"/>
  <c r="P661" i="1"/>
  <c r="P424" i="1"/>
  <c r="P295" i="1"/>
  <c r="P594" i="1"/>
  <c r="P359" i="1"/>
  <c r="P297" i="1"/>
  <c r="P435" i="1"/>
  <c r="P123" i="1"/>
  <c r="P441" i="1"/>
  <c r="P279" i="1"/>
  <c r="P6" i="1"/>
  <c r="P244" i="1"/>
  <c r="P559" i="1"/>
  <c r="P167" i="1"/>
  <c r="P349" i="1"/>
  <c r="P538" i="1"/>
  <c r="P99" i="1"/>
  <c r="P226" i="1"/>
  <c r="P415" i="1"/>
  <c r="P251" i="1"/>
  <c r="P128" i="1"/>
  <c r="P320" i="1"/>
  <c r="P339" i="1"/>
  <c r="P374" i="1"/>
  <c r="P82" i="1"/>
  <c r="P505" i="1"/>
  <c r="P312" i="1"/>
  <c r="P290" i="1"/>
  <c r="P314" i="1"/>
  <c r="P254" i="1"/>
  <c r="P608" i="1"/>
  <c r="P518" i="1"/>
  <c r="P650" i="1"/>
  <c r="P363" i="1"/>
  <c r="P345" i="1"/>
  <c r="P677" i="1" l="1"/>
  <c r="I11" i="10" l="1"/>
  <c r="B19" i="10" s="1"/>
  <c r="O676" i="1"/>
  <c r="O674" i="1"/>
  <c r="O672" i="1"/>
  <c r="O670" i="1"/>
  <c r="O668" i="1"/>
  <c r="O666" i="1"/>
  <c r="O664" i="1"/>
  <c r="O662" i="1"/>
  <c r="O660" i="1"/>
  <c r="O658" i="1"/>
  <c r="O656" i="1"/>
  <c r="O654" i="1"/>
  <c r="O652" i="1"/>
  <c r="O650" i="1"/>
  <c r="O648" i="1"/>
  <c r="O646" i="1"/>
  <c r="O644" i="1"/>
  <c r="O642" i="1"/>
  <c r="O640" i="1"/>
  <c r="O638" i="1"/>
  <c r="O636" i="1"/>
  <c r="O634" i="1"/>
  <c r="O632" i="1"/>
  <c r="O630" i="1"/>
  <c r="O628" i="1"/>
  <c r="O626" i="1"/>
  <c r="O624" i="1"/>
  <c r="O622" i="1"/>
  <c r="O620" i="1"/>
  <c r="O614" i="1"/>
  <c r="O602" i="1"/>
  <c r="O576" i="1"/>
  <c r="O564" i="1"/>
  <c r="O552" i="1"/>
  <c r="O540" i="1"/>
  <c r="O528" i="1"/>
  <c r="O480" i="1"/>
  <c r="O468" i="1"/>
  <c r="O456" i="1"/>
  <c r="O444" i="1"/>
  <c r="O432" i="1"/>
  <c r="O420" i="1"/>
  <c r="O408" i="1"/>
  <c r="O396" i="1"/>
  <c r="O384" i="1"/>
  <c r="O372" i="1"/>
  <c r="O360" i="1"/>
  <c r="O348" i="1"/>
  <c r="O336" i="1"/>
  <c r="O324" i="1"/>
  <c r="O312" i="1"/>
  <c r="O300" i="1"/>
  <c r="O288" i="1"/>
  <c r="O276" i="1"/>
  <c r="O264" i="1"/>
  <c r="O252" i="1"/>
  <c r="O240" i="1"/>
  <c r="O228" i="1"/>
  <c r="O216" i="1"/>
  <c r="O204" i="1"/>
  <c r="O192" i="1"/>
  <c r="O180" i="1"/>
  <c r="O168" i="1"/>
  <c r="O144" i="1"/>
  <c r="O132" i="1"/>
  <c r="O120" i="1"/>
  <c r="O108" i="1"/>
  <c r="O96" i="1"/>
  <c r="O84" i="1"/>
  <c r="O72" i="1"/>
  <c r="O60" i="1"/>
  <c r="O48" i="1"/>
  <c r="O36" i="1"/>
  <c r="O24" i="1"/>
  <c r="O12" i="1"/>
  <c r="O156" i="1" l="1"/>
  <c r="O590" i="1"/>
  <c r="O618" i="1"/>
  <c r="O610" i="1"/>
  <c r="O604" i="1"/>
  <c r="O616" i="1"/>
  <c r="O504" i="1"/>
  <c r="O492" i="1"/>
  <c r="O596" i="1"/>
  <c r="O608" i="1"/>
  <c r="O516" i="1"/>
  <c r="O588" i="1"/>
  <c r="O594" i="1"/>
  <c r="O599" i="1"/>
  <c r="O611" i="1"/>
  <c r="O623" i="1"/>
  <c r="O635" i="1"/>
  <c r="O647" i="1"/>
  <c r="O659" i="1"/>
  <c r="O671" i="1"/>
  <c r="O13" i="1"/>
  <c r="O25" i="1"/>
  <c r="O37" i="1"/>
  <c r="O49" i="1"/>
  <c r="O61" i="1"/>
  <c r="O73" i="1"/>
  <c r="O85" i="1"/>
  <c r="O97" i="1"/>
  <c r="O109" i="1"/>
  <c r="O121" i="1"/>
  <c r="O133" i="1"/>
  <c r="O145" i="1"/>
  <c r="O157" i="1"/>
  <c r="O169" i="1"/>
  <c r="O181" i="1"/>
  <c r="O193" i="1"/>
  <c r="O205" i="1"/>
  <c r="O217" i="1"/>
  <c r="O229" i="1"/>
  <c r="O241" i="1"/>
  <c r="O253" i="1"/>
  <c r="O265" i="1"/>
  <c r="O277" i="1"/>
  <c r="O289" i="1"/>
  <c r="O301" i="1"/>
  <c r="O313" i="1"/>
  <c r="O325" i="1"/>
  <c r="O337" i="1"/>
  <c r="O349" i="1"/>
  <c r="O361" i="1"/>
  <c r="O373" i="1"/>
  <c r="O385" i="1"/>
  <c r="O397" i="1"/>
  <c r="O409" i="1"/>
  <c r="O421" i="1"/>
  <c r="O433" i="1"/>
  <c r="O445" i="1"/>
  <c r="O457" i="1"/>
  <c r="O469" i="1"/>
  <c r="O481" i="1"/>
  <c r="O493" i="1"/>
  <c r="O505" i="1"/>
  <c r="O517" i="1"/>
  <c r="O529" i="1"/>
  <c r="O541" i="1"/>
  <c r="O553" i="1"/>
  <c r="O565" i="1"/>
  <c r="O577" i="1"/>
  <c r="O613" i="1"/>
  <c r="O625" i="1"/>
  <c r="O637" i="1"/>
  <c r="O649" i="1"/>
  <c r="O661" i="1"/>
  <c r="O673" i="1"/>
  <c r="O627" i="1"/>
  <c r="O639" i="1"/>
  <c r="O651" i="1"/>
  <c r="O663" i="1"/>
  <c r="O675" i="1"/>
  <c r="O341" i="1"/>
  <c r="O353" i="1"/>
  <c r="O605" i="1"/>
  <c r="O617" i="1"/>
  <c r="O629" i="1"/>
  <c r="O641" i="1"/>
  <c r="O653" i="1"/>
  <c r="O665" i="1"/>
  <c r="O4" i="1"/>
  <c r="O619" i="1"/>
  <c r="O631" i="1"/>
  <c r="O643" i="1"/>
  <c r="O655" i="1"/>
  <c r="O667" i="1"/>
  <c r="O633" i="1"/>
  <c r="O645" i="1"/>
  <c r="O657" i="1"/>
  <c r="O669" i="1"/>
  <c r="O598" i="1"/>
  <c r="O612" i="1"/>
  <c r="O592" i="1"/>
  <c r="O606" i="1"/>
  <c r="O621" i="1"/>
  <c r="O593" i="1"/>
  <c r="O609" i="1"/>
  <c r="O600" i="1"/>
  <c r="O589" i="1"/>
  <c r="O10" i="1"/>
  <c r="O34" i="1"/>
  <c r="O58" i="1"/>
  <c r="O82" i="1"/>
  <c r="O106" i="1"/>
  <c r="O130" i="1"/>
  <c r="O154" i="1"/>
  <c r="O190" i="1"/>
  <c r="O250" i="1"/>
  <c r="O202" i="1"/>
  <c r="O22" i="1"/>
  <c r="O46" i="1"/>
  <c r="O70" i="1"/>
  <c r="O94" i="1"/>
  <c r="O118" i="1"/>
  <c r="O142" i="1"/>
  <c r="O166" i="1"/>
  <c r="O178" i="1"/>
  <c r="O226" i="1"/>
  <c r="O238" i="1"/>
  <c r="O9" i="1"/>
  <c r="O21" i="1"/>
  <c r="O45" i="1"/>
  <c r="O69" i="1"/>
  <c r="O93" i="1"/>
  <c r="O117" i="1"/>
  <c r="O141" i="1"/>
  <c r="O165" i="1"/>
  <c r="O189" i="1"/>
  <c r="O225" i="1"/>
  <c r="O237" i="1"/>
  <c r="O261" i="1"/>
  <c r="O273" i="1"/>
  <c r="O297" i="1"/>
  <c r="O333" i="1"/>
  <c r="O357" i="1"/>
  <c r="O381" i="1"/>
  <c r="O405" i="1"/>
  <c r="O429" i="1"/>
  <c r="O453" i="1"/>
  <c r="O477" i="1"/>
  <c r="O501" i="1"/>
  <c r="O525" i="1"/>
  <c r="O549" i="1"/>
  <c r="O597" i="1"/>
  <c r="O262" i="1"/>
  <c r="O33" i="1"/>
  <c r="O57" i="1"/>
  <c r="O81" i="1"/>
  <c r="O105" i="1"/>
  <c r="O129" i="1"/>
  <c r="O153" i="1"/>
  <c r="O177" i="1"/>
  <c r="O201" i="1"/>
  <c r="O213" i="1"/>
  <c r="O249" i="1"/>
  <c r="O285" i="1"/>
  <c r="O309" i="1"/>
  <c r="O321" i="1"/>
  <c r="O345" i="1"/>
  <c r="O369" i="1"/>
  <c r="O393" i="1"/>
  <c r="O417" i="1"/>
  <c r="O441" i="1"/>
  <c r="O465" i="1"/>
  <c r="O489" i="1"/>
  <c r="O513" i="1"/>
  <c r="O537" i="1"/>
  <c r="O561" i="1"/>
  <c r="O573" i="1"/>
  <c r="O585" i="1"/>
  <c r="O274" i="1"/>
  <c r="O214" i="1"/>
  <c r="O158" i="1"/>
  <c r="O298" i="1"/>
  <c r="O322" i="1"/>
  <c r="O346" i="1"/>
  <c r="O370" i="1"/>
  <c r="O394" i="1"/>
  <c r="O418" i="1"/>
  <c r="O442" i="1"/>
  <c r="O454" i="1"/>
  <c r="O478" i="1"/>
  <c r="O502" i="1"/>
  <c r="O526" i="1"/>
  <c r="O562" i="1"/>
  <c r="O586" i="1"/>
  <c r="O23" i="1"/>
  <c r="O47" i="1"/>
  <c r="O71" i="1"/>
  <c r="O95" i="1"/>
  <c r="O107" i="1"/>
  <c r="O131" i="1"/>
  <c r="O155" i="1"/>
  <c r="O179" i="1"/>
  <c r="O203" i="1"/>
  <c r="O227" i="1"/>
  <c r="O239" i="1"/>
  <c r="O263" i="1"/>
  <c r="O287" i="1"/>
  <c r="O311" i="1"/>
  <c r="O335" i="1"/>
  <c r="O371" i="1"/>
  <c r="O395" i="1"/>
  <c r="O419" i="1"/>
  <c r="O443" i="1"/>
  <c r="O467" i="1"/>
  <c r="O491" i="1"/>
  <c r="O515" i="1"/>
  <c r="O539" i="1"/>
  <c r="O563" i="1"/>
  <c r="O587" i="1"/>
  <c r="O14" i="1"/>
  <c r="O26" i="1"/>
  <c r="O38" i="1"/>
  <c r="O50" i="1"/>
  <c r="O62" i="1"/>
  <c r="O74" i="1"/>
  <c r="O86" i="1"/>
  <c r="O98" i="1"/>
  <c r="O110" i="1"/>
  <c r="O122" i="1"/>
  <c r="O134" i="1"/>
  <c r="O146" i="1"/>
  <c r="O170" i="1"/>
  <c r="O286" i="1"/>
  <c r="O310" i="1"/>
  <c r="O334" i="1"/>
  <c r="O358" i="1"/>
  <c r="O382" i="1"/>
  <c r="O406" i="1"/>
  <c r="O430" i="1"/>
  <c r="O466" i="1"/>
  <c r="O490" i="1"/>
  <c r="O514" i="1"/>
  <c r="O538" i="1"/>
  <c r="O550" i="1"/>
  <c r="O574" i="1"/>
  <c r="O11" i="1"/>
  <c r="O35" i="1"/>
  <c r="O59" i="1"/>
  <c r="O83" i="1"/>
  <c r="O119" i="1"/>
  <c r="O143" i="1"/>
  <c r="O167" i="1"/>
  <c r="O191" i="1"/>
  <c r="O215" i="1"/>
  <c r="O251" i="1"/>
  <c r="O275" i="1"/>
  <c r="O299" i="1"/>
  <c r="O323" i="1"/>
  <c r="O347" i="1"/>
  <c r="O359" i="1"/>
  <c r="O383" i="1"/>
  <c r="O407" i="1"/>
  <c r="O431" i="1"/>
  <c r="O455" i="1"/>
  <c r="O479" i="1"/>
  <c r="O503" i="1"/>
  <c r="O527" i="1"/>
  <c r="O551" i="1"/>
  <c r="O575" i="1"/>
  <c r="O16" i="1"/>
  <c r="O28" i="1"/>
  <c r="O40" i="1"/>
  <c r="O52" i="1"/>
  <c r="O64" i="1"/>
  <c r="O76" i="1"/>
  <c r="O88" i="1"/>
  <c r="O100" i="1"/>
  <c r="O112" i="1"/>
  <c r="O124" i="1"/>
  <c r="O136" i="1"/>
  <c r="O148" i="1"/>
  <c r="O160" i="1"/>
  <c r="O172" i="1"/>
  <c r="O184" i="1"/>
  <c r="O196" i="1"/>
  <c r="O208" i="1"/>
  <c r="O220" i="1"/>
  <c r="O232" i="1"/>
  <c r="O244" i="1"/>
  <c r="O256" i="1"/>
  <c r="O268" i="1"/>
  <c r="O280" i="1"/>
  <c r="O292" i="1"/>
  <c r="O304" i="1"/>
  <c r="O316" i="1"/>
  <c r="O328" i="1"/>
  <c r="O340" i="1"/>
  <c r="O352" i="1"/>
  <c r="O364" i="1"/>
  <c r="O376" i="1"/>
  <c r="O388" i="1"/>
  <c r="O400" i="1"/>
  <c r="O412" i="1"/>
  <c r="O424" i="1"/>
  <c r="O436" i="1"/>
  <c r="O448" i="1"/>
  <c r="O460" i="1"/>
  <c r="O472" i="1"/>
  <c r="O484" i="1"/>
  <c r="O496" i="1"/>
  <c r="O508" i="1"/>
  <c r="O520" i="1"/>
  <c r="O532" i="1"/>
  <c r="O544" i="1"/>
  <c r="O556" i="1"/>
  <c r="O568" i="1"/>
  <c r="O580" i="1"/>
  <c r="O182" i="1"/>
  <c r="O194" i="1"/>
  <c r="O206" i="1"/>
  <c r="O218" i="1"/>
  <c r="O230" i="1"/>
  <c r="O242" i="1"/>
  <c r="O254" i="1"/>
  <c r="O266" i="1"/>
  <c r="O278" i="1"/>
  <c r="O290" i="1"/>
  <c r="O302" i="1"/>
  <c r="O314" i="1"/>
  <c r="O326" i="1"/>
  <c r="O338" i="1"/>
  <c r="O350" i="1"/>
  <c r="O362" i="1"/>
  <c r="O374" i="1"/>
  <c r="O386" i="1"/>
  <c r="O398" i="1"/>
  <c r="O410" i="1"/>
  <c r="O422" i="1"/>
  <c r="O434" i="1"/>
  <c r="O446" i="1"/>
  <c r="O458" i="1"/>
  <c r="O470" i="1"/>
  <c r="O482" i="1"/>
  <c r="O494" i="1"/>
  <c r="O506" i="1"/>
  <c r="O518" i="1"/>
  <c r="O530" i="1"/>
  <c r="O542" i="1"/>
  <c r="O554" i="1"/>
  <c r="O566" i="1"/>
  <c r="O578" i="1"/>
  <c r="O15" i="1"/>
  <c r="O27" i="1"/>
  <c r="O39" i="1"/>
  <c r="O51" i="1"/>
  <c r="O63" i="1"/>
  <c r="O75" i="1"/>
  <c r="O87" i="1"/>
  <c r="O99" i="1"/>
  <c r="O111" i="1"/>
  <c r="O123" i="1"/>
  <c r="O135" i="1"/>
  <c r="O147" i="1"/>
  <c r="O159" i="1"/>
  <c r="O171" i="1"/>
  <c r="O183" i="1"/>
  <c r="O195" i="1"/>
  <c r="O207" i="1"/>
  <c r="O219" i="1"/>
  <c r="O231" i="1"/>
  <c r="O243" i="1"/>
  <c r="O255" i="1"/>
  <c r="O267" i="1"/>
  <c r="O279" i="1"/>
  <c r="O291" i="1"/>
  <c r="O303" i="1"/>
  <c r="O315" i="1"/>
  <c r="O327" i="1"/>
  <c r="O339" i="1"/>
  <c r="O351" i="1"/>
  <c r="O363" i="1"/>
  <c r="O375" i="1"/>
  <c r="O387" i="1"/>
  <c r="O399" i="1"/>
  <c r="O411" i="1"/>
  <c r="O423" i="1"/>
  <c r="O435" i="1"/>
  <c r="O447" i="1"/>
  <c r="O459" i="1"/>
  <c r="O471" i="1"/>
  <c r="O483" i="1"/>
  <c r="O495" i="1"/>
  <c r="O507" i="1"/>
  <c r="O519" i="1"/>
  <c r="O531" i="1"/>
  <c r="O543" i="1"/>
  <c r="O555" i="1"/>
  <c r="O567" i="1"/>
  <c r="O579" i="1"/>
  <c r="O591" i="1"/>
  <c r="O603" i="1"/>
  <c r="O615" i="1"/>
  <c r="O17" i="1"/>
  <c r="O41" i="1"/>
  <c r="O65" i="1"/>
  <c r="O89" i="1"/>
  <c r="O113" i="1"/>
  <c r="O137" i="1"/>
  <c r="O161" i="1"/>
  <c r="O185" i="1"/>
  <c r="O209" i="1"/>
  <c r="O233" i="1"/>
  <c r="O257" i="1"/>
  <c r="O281" i="1"/>
  <c r="O293" i="1"/>
  <c r="O317" i="1"/>
  <c r="O365" i="1"/>
  <c r="O5" i="1"/>
  <c r="O29" i="1"/>
  <c r="O53" i="1"/>
  <c r="O77" i="1"/>
  <c r="O101" i="1"/>
  <c r="O125" i="1"/>
  <c r="O149" i="1"/>
  <c r="O173" i="1"/>
  <c r="O197" i="1"/>
  <c r="O221" i="1"/>
  <c r="O245" i="1"/>
  <c r="O269" i="1"/>
  <c r="O305" i="1"/>
  <c r="O329" i="1"/>
  <c r="O377" i="1"/>
  <c r="O601" i="1"/>
  <c r="O389" i="1"/>
  <c r="O413" i="1"/>
  <c r="O437" i="1"/>
  <c r="O461" i="1"/>
  <c r="O485" i="1"/>
  <c r="O509" i="1"/>
  <c r="O533" i="1"/>
  <c r="O557" i="1"/>
  <c r="O581" i="1"/>
  <c r="O18" i="1"/>
  <c r="O42" i="1"/>
  <c r="O66" i="1"/>
  <c r="O90" i="1"/>
  <c r="O102" i="1"/>
  <c r="O126" i="1"/>
  <c r="O150" i="1"/>
  <c r="O174" i="1"/>
  <c r="O198" i="1"/>
  <c r="O222" i="1"/>
  <c r="O246" i="1"/>
  <c r="O270" i="1"/>
  <c r="O294" i="1"/>
  <c r="O318" i="1"/>
  <c r="O342" i="1"/>
  <c r="O366" i="1"/>
  <c r="O390" i="1"/>
  <c r="O414" i="1"/>
  <c r="O438" i="1"/>
  <c r="O462" i="1"/>
  <c r="O486" i="1"/>
  <c r="O510" i="1"/>
  <c r="O534" i="1"/>
  <c r="O558" i="1"/>
  <c r="O582" i="1"/>
  <c r="O7" i="1"/>
  <c r="O19" i="1"/>
  <c r="O31" i="1"/>
  <c r="O43" i="1"/>
  <c r="O55" i="1"/>
  <c r="O67" i="1"/>
  <c r="O79" i="1"/>
  <c r="O91" i="1"/>
  <c r="O103" i="1"/>
  <c r="O115" i="1"/>
  <c r="O127" i="1"/>
  <c r="O139" i="1"/>
  <c r="O151" i="1"/>
  <c r="O163" i="1"/>
  <c r="O175" i="1"/>
  <c r="O187" i="1"/>
  <c r="O199" i="1"/>
  <c r="O211" i="1"/>
  <c r="O223" i="1"/>
  <c r="O235" i="1"/>
  <c r="O247" i="1"/>
  <c r="O259" i="1"/>
  <c r="O271" i="1"/>
  <c r="O283" i="1"/>
  <c r="O295" i="1"/>
  <c r="O307" i="1"/>
  <c r="O319" i="1"/>
  <c r="O331" i="1"/>
  <c r="O343" i="1"/>
  <c r="O355" i="1"/>
  <c r="O367" i="1"/>
  <c r="O379" i="1"/>
  <c r="O391" i="1"/>
  <c r="O403" i="1"/>
  <c r="O415" i="1"/>
  <c r="O427" i="1"/>
  <c r="O439" i="1"/>
  <c r="O451" i="1"/>
  <c r="O463" i="1"/>
  <c r="O475" i="1"/>
  <c r="O487" i="1"/>
  <c r="O499" i="1"/>
  <c r="O511" i="1"/>
  <c r="O523" i="1"/>
  <c r="O535" i="1"/>
  <c r="O547" i="1"/>
  <c r="O559" i="1"/>
  <c r="O571" i="1"/>
  <c r="O583" i="1"/>
  <c r="O595" i="1"/>
  <c r="O607" i="1"/>
  <c r="O401" i="1"/>
  <c r="O425" i="1"/>
  <c r="O449" i="1"/>
  <c r="O473" i="1"/>
  <c r="O497" i="1"/>
  <c r="O521" i="1"/>
  <c r="O545" i="1"/>
  <c r="O569" i="1"/>
  <c r="O6" i="1"/>
  <c r="O30" i="1"/>
  <c r="O54" i="1"/>
  <c r="O78" i="1"/>
  <c r="O114" i="1"/>
  <c r="O138" i="1"/>
  <c r="O162" i="1"/>
  <c r="O186" i="1"/>
  <c r="O210" i="1"/>
  <c r="O234" i="1"/>
  <c r="O258" i="1"/>
  <c r="O282" i="1"/>
  <c r="O306" i="1"/>
  <c r="O330" i="1"/>
  <c r="O354" i="1"/>
  <c r="O378" i="1"/>
  <c r="O402" i="1"/>
  <c r="O426" i="1"/>
  <c r="O450" i="1"/>
  <c r="O474" i="1"/>
  <c r="O498" i="1"/>
  <c r="O522" i="1"/>
  <c r="O546" i="1"/>
  <c r="O570" i="1"/>
  <c r="O8" i="1"/>
  <c r="O20" i="1"/>
  <c r="O32" i="1"/>
  <c r="O44" i="1"/>
  <c r="O56" i="1"/>
  <c r="O68" i="1"/>
  <c r="O80" i="1"/>
  <c r="O92" i="1"/>
  <c r="O104" i="1"/>
  <c r="O116" i="1"/>
  <c r="O128" i="1"/>
  <c r="O140" i="1"/>
  <c r="O152" i="1"/>
  <c r="O164" i="1"/>
  <c r="O176" i="1"/>
  <c r="O188" i="1"/>
  <c r="O200" i="1"/>
  <c r="O212" i="1"/>
  <c r="O224" i="1"/>
  <c r="O236" i="1"/>
  <c r="O248" i="1"/>
  <c r="O260" i="1"/>
  <c r="O272" i="1"/>
  <c r="O284" i="1"/>
  <c r="O296" i="1"/>
  <c r="O308" i="1"/>
  <c r="O320" i="1"/>
  <c r="O332" i="1"/>
  <c r="O344" i="1"/>
  <c r="O356" i="1"/>
  <c r="O368" i="1"/>
  <c r="O380" i="1"/>
  <c r="O392" i="1"/>
  <c r="O404" i="1"/>
  <c r="O416" i="1"/>
  <c r="O428" i="1"/>
  <c r="O440" i="1"/>
  <c r="O452" i="1"/>
  <c r="O464" i="1"/>
  <c r="O476" i="1"/>
  <c r="O488" i="1"/>
  <c r="O500" i="1"/>
  <c r="O512" i="1"/>
  <c r="O524" i="1"/>
  <c r="O536" i="1"/>
  <c r="O548" i="1"/>
  <c r="O560" i="1"/>
  <c r="O572" i="1"/>
  <c r="O584" i="1"/>
  <c r="B20" i="10" l="1"/>
  <c r="AI675" i="1" l="1"/>
  <c r="AI674" i="1"/>
  <c r="AI673" i="1"/>
  <c r="AI672" i="1"/>
  <c r="AI671" i="1"/>
  <c r="AI670" i="1"/>
  <c r="AI669" i="1"/>
  <c r="AI668" i="1"/>
  <c r="AI667" i="1"/>
  <c r="AI666" i="1"/>
  <c r="AI665" i="1"/>
  <c r="AI664" i="1"/>
  <c r="AI663" i="1"/>
  <c r="AI662" i="1"/>
  <c r="AI661" i="1"/>
  <c r="AI660" i="1"/>
  <c r="AI659" i="1"/>
  <c r="AI658" i="1"/>
  <c r="AI657" i="1"/>
  <c r="AI656" i="1"/>
  <c r="AI655" i="1"/>
  <c r="AI654" i="1"/>
  <c r="AI653" i="1"/>
  <c r="AI652" i="1"/>
  <c r="AI651" i="1"/>
  <c r="AI650" i="1"/>
  <c r="AI649" i="1"/>
  <c r="AI648" i="1"/>
  <c r="AI647" i="1"/>
  <c r="AI646" i="1"/>
  <c r="AI645" i="1"/>
  <c r="AI644" i="1"/>
  <c r="AI643" i="1"/>
  <c r="AI642" i="1"/>
  <c r="AI641" i="1"/>
  <c r="AI640" i="1"/>
  <c r="AI639" i="1"/>
  <c r="AI638" i="1"/>
  <c r="AI637" i="1"/>
  <c r="AI636" i="1"/>
  <c r="AI635" i="1"/>
  <c r="AI634" i="1"/>
  <c r="AI633" i="1"/>
  <c r="AI632" i="1"/>
  <c r="AI631" i="1"/>
  <c r="AI630" i="1"/>
  <c r="AI629" i="1"/>
  <c r="AI628" i="1"/>
  <c r="AI627" i="1"/>
  <c r="AI626" i="1"/>
  <c r="AI625" i="1"/>
  <c r="AI624" i="1"/>
  <c r="AI623" i="1"/>
  <c r="AI622" i="1"/>
  <c r="AI621" i="1"/>
  <c r="AI620" i="1"/>
  <c r="AI619" i="1"/>
  <c r="AI618" i="1"/>
  <c r="AI617" i="1"/>
  <c r="AI616" i="1"/>
  <c r="AI615" i="1"/>
  <c r="AI614" i="1"/>
  <c r="AI613" i="1"/>
  <c r="AI612" i="1"/>
  <c r="AI611" i="1"/>
  <c r="AI610" i="1"/>
  <c r="AI609" i="1"/>
  <c r="AI608" i="1"/>
  <c r="AI607" i="1"/>
  <c r="AI606" i="1"/>
  <c r="AI605" i="1"/>
  <c r="AI604" i="1"/>
  <c r="AI603" i="1"/>
  <c r="AI602" i="1"/>
  <c r="AI601" i="1"/>
  <c r="AI600" i="1"/>
  <c r="AI599" i="1"/>
  <c r="AI598" i="1"/>
  <c r="AI597" i="1"/>
  <c r="AI596" i="1"/>
  <c r="AI595" i="1"/>
  <c r="AI594" i="1"/>
  <c r="AI593" i="1"/>
  <c r="AI592" i="1"/>
  <c r="AI591" i="1"/>
  <c r="AI590" i="1"/>
  <c r="AI589" i="1"/>
  <c r="AI588" i="1"/>
  <c r="AI587" i="1"/>
  <c r="AI586" i="1"/>
  <c r="AI585" i="1"/>
  <c r="AI584" i="1"/>
  <c r="AI583" i="1"/>
  <c r="AI582" i="1"/>
  <c r="AI581" i="1"/>
  <c r="AI580" i="1"/>
  <c r="AI579" i="1"/>
  <c r="AI578" i="1"/>
  <c r="AI577" i="1"/>
  <c r="AI576" i="1"/>
  <c r="AI575" i="1"/>
  <c r="AI574" i="1"/>
  <c r="AI573" i="1"/>
  <c r="AI572" i="1"/>
  <c r="AI571" i="1"/>
  <c r="AI570" i="1"/>
  <c r="AI569" i="1"/>
  <c r="AI568" i="1"/>
  <c r="AI567" i="1"/>
  <c r="AI566" i="1"/>
  <c r="AI565" i="1"/>
  <c r="AI564" i="1"/>
  <c r="AI563" i="1"/>
  <c r="AI562" i="1"/>
  <c r="AI561" i="1"/>
  <c r="AI560" i="1"/>
  <c r="AI559" i="1"/>
  <c r="AI558" i="1"/>
  <c r="AI557" i="1"/>
  <c r="AI556" i="1"/>
  <c r="AI555" i="1"/>
  <c r="AI554" i="1"/>
  <c r="AI553" i="1"/>
  <c r="AI552" i="1"/>
  <c r="AI551" i="1"/>
  <c r="AI550" i="1"/>
  <c r="AI549" i="1"/>
  <c r="AI548" i="1"/>
  <c r="AI547" i="1"/>
  <c r="AI546" i="1"/>
  <c r="AI545" i="1"/>
  <c r="AI544" i="1"/>
  <c r="AI543" i="1"/>
  <c r="AI542" i="1"/>
  <c r="AI541" i="1"/>
  <c r="AI540" i="1"/>
  <c r="AI539" i="1"/>
  <c r="AI538" i="1"/>
  <c r="AI537" i="1"/>
  <c r="AI536" i="1"/>
  <c r="AI535" i="1"/>
  <c r="AI534" i="1"/>
  <c r="AI533" i="1"/>
  <c r="AI532" i="1"/>
  <c r="AI531" i="1"/>
  <c r="AI530" i="1"/>
  <c r="AI529" i="1"/>
  <c r="AI528" i="1"/>
  <c r="AI527" i="1"/>
  <c r="AI526" i="1"/>
  <c r="AI525" i="1"/>
  <c r="AI524" i="1"/>
  <c r="AI523" i="1"/>
  <c r="AI522" i="1"/>
  <c r="AI521" i="1"/>
  <c r="AI520" i="1"/>
  <c r="AI519" i="1"/>
  <c r="AI518" i="1"/>
  <c r="AI517" i="1"/>
  <c r="AI516" i="1"/>
  <c r="AI515" i="1"/>
  <c r="AI514" i="1"/>
  <c r="AI513" i="1"/>
  <c r="AI512" i="1"/>
  <c r="AI511" i="1"/>
  <c r="AI510" i="1"/>
  <c r="AI509" i="1"/>
  <c r="AI508" i="1"/>
  <c r="AI507" i="1"/>
  <c r="AI506" i="1"/>
  <c r="AI505" i="1"/>
  <c r="AI504" i="1"/>
  <c r="AI503" i="1"/>
  <c r="AI502" i="1"/>
  <c r="AI501" i="1"/>
  <c r="AI500" i="1"/>
  <c r="AI499" i="1"/>
  <c r="AI498" i="1"/>
  <c r="AI497" i="1"/>
  <c r="AI496" i="1"/>
  <c r="AI495" i="1"/>
  <c r="AI494" i="1"/>
  <c r="AI493" i="1"/>
  <c r="AI492" i="1"/>
  <c r="AI491" i="1"/>
  <c r="AI490" i="1"/>
  <c r="AI489" i="1"/>
  <c r="AI488" i="1"/>
  <c r="AI487" i="1"/>
  <c r="AI486" i="1"/>
  <c r="AI485" i="1"/>
  <c r="AI484" i="1"/>
  <c r="AI483" i="1"/>
  <c r="AI482" i="1"/>
  <c r="AI481" i="1"/>
  <c r="AI480" i="1"/>
  <c r="AI479" i="1"/>
  <c r="AI478" i="1"/>
  <c r="AI477" i="1"/>
  <c r="AI476" i="1"/>
  <c r="AI475" i="1"/>
  <c r="AI474" i="1"/>
  <c r="AI473" i="1"/>
  <c r="AI472" i="1"/>
  <c r="AI471" i="1"/>
  <c r="AI470" i="1"/>
  <c r="AI469" i="1"/>
  <c r="AI468" i="1"/>
  <c r="AI467" i="1"/>
  <c r="AI466" i="1"/>
  <c r="AI465" i="1"/>
  <c r="AI464" i="1"/>
  <c r="AI463" i="1"/>
  <c r="AI462" i="1"/>
  <c r="AI461" i="1"/>
  <c r="AI460" i="1"/>
  <c r="AI459" i="1"/>
  <c r="AI458" i="1"/>
  <c r="AI457" i="1"/>
  <c r="AI456" i="1"/>
  <c r="AI455" i="1"/>
  <c r="AI454" i="1"/>
  <c r="AI453" i="1"/>
  <c r="AI452" i="1"/>
  <c r="AI451" i="1"/>
  <c r="AI450" i="1"/>
  <c r="AI449" i="1"/>
  <c r="AI448" i="1"/>
  <c r="AI447" i="1"/>
  <c r="AI446" i="1"/>
  <c r="AI445" i="1"/>
  <c r="AI444" i="1"/>
  <c r="AI443" i="1"/>
  <c r="AI442" i="1"/>
  <c r="AI441" i="1"/>
  <c r="AI440" i="1"/>
  <c r="AI439" i="1"/>
  <c r="AI438" i="1"/>
  <c r="AI437" i="1"/>
  <c r="AI436" i="1"/>
  <c r="AI435" i="1"/>
  <c r="AI434" i="1"/>
  <c r="AI433" i="1"/>
  <c r="AI432" i="1"/>
  <c r="AI431" i="1"/>
  <c r="AI430" i="1"/>
  <c r="AI429" i="1"/>
  <c r="AI428" i="1"/>
  <c r="AI427" i="1"/>
  <c r="AI426" i="1"/>
  <c r="AI425" i="1"/>
  <c r="AI424" i="1"/>
  <c r="AI423" i="1"/>
  <c r="AI422" i="1"/>
  <c r="AI421" i="1"/>
  <c r="AI420" i="1"/>
  <c r="AI419" i="1"/>
  <c r="AI418" i="1"/>
  <c r="AI417" i="1"/>
  <c r="AI416" i="1"/>
  <c r="AI415" i="1"/>
  <c r="AI414" i="1"/>
  <c r="AI413" i="1"/>
  <c r="AI412" i="1"/>
  <c r="AI411" i="1"/>
  <c r="AI410" i="1"/>
  <c r="AI409" i="1"/>
  <c r="AI408" i="1"/>
  <c r="AI407" i="1"/>
  <c r="AI406" i="1"/>
  <c r="AI405" i="1"/>
  <c r="AI404" i="1"/>
  <c r="AI403" i="1"/>
  <c r="AI402" i="1"/>
  <c r="AI401" i="1"/>
  <c r="AI400" i="1"/>
  <c r="AI399" i="1"/>
  <c r="AI398" i="1"/>
  <c r="AI397" i="1"/>
  <c r="AI396" i="1"/>
  <c r="AI395" i="1"/>
  <c r="AI394" i="1"/>
  <c r="AI393" i="1"/>
  <c r="AI392" i="1"/>
  <c r="AI391" i="1"/>
  <c r="AI390" i="1"/>
  <c r="AI389" i="1"/>
  <c r="AI388" i="1"/>
  <c r="AI387" i="1"/>
  <c r="AI386" i="1"/>
  <c r="AI385" i="1"/>
  <c r="AI384" i="1"/>
  <c r="AI383" i="1"/>
  <c r="AI382" i="1"/>
  <c r="AI381" i="1"/>
  <c r="AI380" i="1"/>
  <c r="AI379" i="1"/>
  <c r="AI378" i="1"/>
  <c r="AI377" i="1"/>
  <c r="AI376" i="1"/>
  <c r="AI375" i="1"/>
  <c r="AI374" i="1"/>
  <c r="AI373" i="1"/>
  <c r="AI372" i="1"/>
  <c r="AI371" i="1"/>
  <c r="AI370" i="1"/>
  <c r="AI369" i="1"/>
  <c r="AI368" i="1"/>
  <c r="AI367" i="1"/>
  <c r="AI366" i="1"/>
  <c r="AI365" i="1"/>
  <c r="AI364" i="1"/>
  <c r="AI363" i="1"/>
  <c r="AI362" i="1"/>
  <c r="AI361" i="1"/>
  <c r="AI360" i="1"/>
  <c r="AI359" i="1"/>
  <c r="AI358" i="1"/>
  <c r="AI357" i="1"/>
  <c r="AI356" i="1"/>
  <c r="AI355" i="1"/>
  <c r="AI354" i="1"/>
  <c r="AI353" i="1"/>
  <c r="AI352" i="1"/>
  <c r="AI351" i="1"/>
  <c r="AI350" i="1"/>
  <c r="AI349" i="1"/>
  <c r="AI348" i="1"/>
  <c r="AI347" i="1"/>
  <c r="AI346" i="1"/>
  <c r="AI345" i="1"/>
  <c r="AI344" i="1"/>
  <c r="AI343" i="1"/>
  <c r="AI342" i="1"/>
  <c r="AI341" i="1"/>
  <c r="AI340" i="1"/>
  <c r="AI339" i="1"/>
  <c r="AI338" i="1"/>
  <c r="AI337" i="1"/>
  <c r="AI336" i="1"/>
  <c r="AI335" i="1"/>
  <c r="AI334" i="1"/>
  <c r="AI333" i="1"/>
  <c r="AI332" i="1"/>
  <c r="AI331" i="1"/>
  <c r="AI330" i="1"/>
  <c r="AI329" i="1"/>
  <c r="AI328" i="1"/>
  <c r="AI327" i="1"/>
  <c r="AI326" i="1"/>
  <c r="AI325" i="1"/>
  <c r="AI324" i="1"/>
  <c r="AI323" i="1"/>
  <c r="AI322" i="1"/>
  <c r="AI321" i="1"/>
  <c r="AI320" i="1"/>
  <c r="AI319" i="1"/>
  <c r="AI318" i="1"/>
  <c r="AI317" i="1"/>
  <c r="AI316" i="1"/>
  <c r="AI315" i="1"/>
  <c r="AI314" i="1"/>
  <c r="AI313" i="1"/>
  <c r="AI312" i="1"/>
  <c r="AI311" i="1"/>
  <c r="AI310" i="1"/>
  <c r="AI309" i="1"/>
  <c r="AI308" i="1"/>
  <c r="AI307" i="1"/>
  <c r="AI306" i="1"/>
  <c r="AI305" i="1"/>
  <c r="AI304" i="1"/>
  <c r="AI303" i="1"/>
  <c r="AI302" i="1"/>
  <c r="AI301" i="1"/>
  <c r="AI300" i="1"/>
  <c r="AI299" i="1"/>
  <c r="AI298" i="1"/>
  <c r="AI297" i="1"/>
  <c r="AI296" i="1"/>
  <c r="AI295" i="1"/>
  <c r="AI294" i="1"/>
  <c r="AI293" i="1"/>
  <c r="AI292" i="1"/>
  <c r="AI291" i="1"/>
  <c r="AI290" i="1"/>
  <c r="AI289" i="1"/>
  <c r="AI288" i="1"/>
  <c r="AI287" i="1"/>
  <c r="AI286" i="1"/>
  <c r="AI285" i="1"/>
  <c r="AI284" i="1"/>
  <c r="AI283" i="1"/>
  <c r="AI282" i="1"/>
  <c r="AI281" i="1"/>
  <c r="AI280" i="1"/>
  <c r="AI279" i="1"/>
  <c r="AI278" i="1"/>
  <c r="AI277" i="1"/>
  <c r="AI276" i="1"/>
  <c r="AI275" i="1"/>
  <c r="AI274" i="1"/>
  <c r="AI273" i="1"/>
  <c r="AI272" i="1"/>
  <c r="AI271" i="1"/>
  <c r="AI270" i="1"/>
  <c r="AI269" i="1"/>
  <c r="AI268" i="1"/>
  <c r="AI267" i="1"/>
  <c r="AI266" i="1"/>
  <c r="AI265" i="1"/>
  <c r="AI264" i="1"/>
  <c r="AI263" i="1"/>
  <c r="AI262" i="1"/>
  <c r="AI261" i="1"/>
  <c r="AI260" i="1"/>
  <c r="AI259" i="1"/>
  <c r="AI258" i="1"/>
  <c r="AI257" i="1"/>
  <c r="AI256" i="1"/>
  <c r="AI255" i="1"/>
  <c r="AI254" i="1"/>
  <c r="AI253" i="1"/>
  <c r="AI252" i="1"/>
  <c r="AI251" i="1"/>
  <c r="AI250" i="1"/>
  <c r="AI249" i="1"/>
  <c r="AI248" i="1"/>
  <c r="AI247" i="1"/>
  <c r="AI246" i="1"/>
  <c r="AI245" i="1"/>
  <c r="AI244" i="1"/>
  <c r="AI243" i="1"/>
  <c r="AI242" i="1"/>
  <c r="AI241" i="1"/>
  <c r="AI240" i="1"/>
  <c r="AI239" i="1"/>
  <c r="AI238" i="1"/>
  <c r="AI237" i="1"/>
  <c r="AI236" i="1"/>
  <c r="AI235" i="1"/>
  <c r="AI234" i="1"/>
  <c r="AI233" i="1"/>
  <c r="AI232" i="1"/>
  <c r="AI231" i="1"/>
  <c r="AI230" i="1"/>
  <c r="AI229" i="1"/>
  <c r="AI228" i="1"/>
  <c r="AI227" i="1"/>
  <c r="AI226" i="1"/>
  <c r="AI225" i="1"/>
  <c r="AI224" i="1"/>
  <c r="AI223" i="1"/>
  <c r="AI222" i="1"/>
  <c r="AI221" i="1"/>
  <c r="AI220" i="1"/>
  <c r="AI219" i="1"/>
  <c r="AI218" i="1"/>
  <c r="AI217" i="1"/>
  <c r="AI216" i="1"/>
  <c r="AI215" i="1"/>
  <c r="AI214" i="1"/>
  <c r="AI213" i="1"/>
  <c r="AI212" i="1"/>
  <c r="AI211" i="1"/>
  <c r="AI210" i="1"/>
  <c r="AI209" i="1"/>
  <c r="AI208" i="1"/>
  <c r="AI207" i="1"/>
  <c r="AI206" i="1"/>
  <c r="AI205" i="1"/>
  <c r="AI204" i="1"/>
  <c r="AI203" i="1"/>
  <c r="AI202" i="1"/>
  <c r="AI201" i="1"/>
  <c r="AI200" i="1"/>
  <c r="AI199" i="1"/>
  <c r="AI198" i="1"/>
  <c r="AI197" i="1"/>
  <c r="AI196" i="1"/>
  <c r="AI195" i="1"/>
  <c r="AI194" i="1"/>
  <c r="AI193" i="1"/>
  <c r="AI192" i="1"/>
  <c r="AI191" i="1"/>
  <c r="AI190" i="1"/>
  <c r="AI189" i="1"/>
  <c r="AI188" i="1"/>
  <c r="AI187" i="1"/>
  <c r="AI186" i="1"/>
  <c r="AI185" i="1"/>
  <c r="AI184" i="1"/>
  <c r="AI183" i="1"/>
  <c r="AI182" i="1"/>
  <c r="AI181" i="1"/>
  <c r="AI180" i="1"/>
  <c r="AI179" i="1"/>
  <c r="AI178" i="1"/>
  <c r="AI177" i="1"/>
  <c r="AI176" i="1"/>
  <c r="AI175" i="1"/>
  <c r="AI174" i="1"/>
  <c r="AI173" i="1"/>
  <c r="AI172" i="1"/>
  <c r="AI171" i="1"/>
  <c r="AI170" i="1"/>
  <c r="AI169" i="1"/>
  <c r="AI168" i="1"/>
  <c r="AI167" i="1"/>
  <c r="AI166" i="1"/>
  <c r="AI165" i="1"/>
  <c r="AI164" i="1"/>
  <c r="AI163" i="1"/>
  <c r="AI162" i="1"/>
  <c r="AI161" i="1"/>
  <c r="AI160" i="1"/>
  <c r="AI159" i="1"/>
  <c r="AI158" i="1"/>
  <c r="AI157" i="1"/>
  <c r="AI156" i="1"/>
  <c r="AI155" i="1"/>
  <c r="AI154" i="1"/>
  <c r="AI153" i="1"/>
  <c r="AI152" i="1"/>
  <c r="AI151" i="1"/>
  <c r="AI150" i="1"/>
  <c r="AI149" i="1"/>
  <c r="AI148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31" i="1"/>
  <c r="AI130" i="1"/>
  <c r="AI129" i="1"/>
  <c r="AI128" i="1"/>
  <c r="AI127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H4" i="1"/>
  <c r="AH675" i="1"/>
  <c r="AH674" i="1"/>
  <c r="AH673" i="1"/>
  <c r="AH672" i="1"/>
  <c r="AH671" i="1"/>
  <c r="AH670" i="1"/>
  <c r="AH669" i="1"/>
  <c r="AH668" i="1"/>
  <c r="AH667" i="1"/>
  <c r="AH666" i="1"/>
  <c r="AH665" i="1"/>
  <c r="AH664" i="1"/>
  <c r="AH663" i="1"/>
  <c r="AH662" i="1"/>
  <c r="AH661" i="1"/>
  <c r="AH660" i="1"/>
  <c r="AH659" i="1"/>
  <c r="AH658" i="1"/>
  <c r="AH657" i="1"/>
  <c r="AH656" i="1"/>
  <c r="AH655" i="1"/>
  <c r="AH654" i="1"/>
  <c r="AH653" i="1"/>
  <c r="AH652" i="1"/>
  <c r="AH651" i="1"/>
  <c r="AH650" i="1"/>
  <c r="AH649" i="1"/>
  <c r="AH648" i="1"/>
  <c r="AH647" i="1"/>
  <c r="AH646" i="1"/>
  <c r="AH645" i="1"/>
  <c r="AH644" i="1"/>
  <c r="AH643" i="1"/>
  <c r="AH642" i="1"/>
  <c r="AH641" i="1"/>
  <c r="AH640" i="1"/>
  <c r="AH639" i="1"/>
  <c r="AH638" i="1"/>
  <c r="AH637" i="1"/>
  <c r="AH636" i="1"/>
  <c r="AH635" i="1"/>
  <c r="AH634" i="1"/>
  <c r="AH633" i="1"/>
  <c r="AH632" i="1"/>
  <c r="AH631" i="1"/>
  <c r="AH630" i="1"/>
  <c r="AH629" i="1"/>
  <c r="AH628" i="1"/>
  <c r="AH627" i="1"/>
  <c r="AH626" i="1"/>
  <c r="AH625" i="1"/>
  <c r="AH624" i="1"/>
  <c r="AH623" i="1"/>
  <c r="AH622" i="1"/>
  <c r="AH621" i="1"/>
  <c r="AH620" i="1"/>
  <c r="AH619" i="1"/>
  <c r="AH618" i="1"/>
  <c r="AH617" i="1"/>
  <c r="AH616" i="1"/>
  <c r="AH615" i="1"/>
  <c r="AH614" i="1"/>
  <c r="AH613" i="1"/>
  <c r="AH612" i="1"/>
  <c r="AH611" i="1"/>
  <c r="AH610" i="1"/>
  <c r="AH609" i="1"/>
  <c r="AH608" i="1"/>
  <c r="AH607" i="1"/>
  <c r="AH606" i="1"/>
  <c r="AH605" i="1"/>
  <c r="AH604" i="1"/>
  <c r="AH603" i="1"/>
  <c r="AH602" i="1"/>
  <c r="AH601" i="1"/>
  <c r="AH600" i="1"/>
  <c r="AH599" i="1"/>
  <c r="AH598" i="1"/>
  <c r="AH597" i="1"/>
  <c r="AH596" i="1"/>
  <c r="AH595" i="1"/>
  <c r="AH594" i="1"/>
  <c r="AH593" i="1"/>
  <c r="AH592" i="1"/>
  <c r="AH591" i="1"/>
  <c r="AH590" i="1"/>
  <c r="AH589" i="1"/>
  <c r="AH588" i="1"/>
  <c r="AH587" i="1"/>
  <c r="AH586" i="1"/>
  <c r="AH585" i="1"/>
  <c r="AH584" i="1"/>
  <c r="AH583" i="1"/>
  <c r="AH582" i="1"/>
  <c r="AH581" i="1"/>
  <c r="AH580" i="1"/>
  <c r="AH579" i="1"/>
  <c r="AH578" i="1"/>
  <c r="AH577" i="1"/>
  <c r="AH576" i="1"/>
  <c r="AH575" i="1"/>
  <c r="AH574" i="1"/>
  <c r="AH573" i="1"/>
  <c r="AH572" i="1"/>
  <c r="AH571" i="1"/>
  <c r="AH570" i="1"/>
  <c r="AH569" i="1"/>
  <c r="AH568" i="1"/>
  <c r="AH567" i="1"/>
  <c r="AH566" i="1"/>
  <c r="AH565" i="1"/>
  <c r="AH564" i="1"/>
  <c r="AH563" i="1"/>
  <c r="AH562" i="1"/>
  <c r="AH561" i="1"/>
  <c r="AH560" i="1"/>
  <c r="AH559" i="1"/>
  <c r="AH558" i="1"/>
  <c r="AH557" i="1"/>
  <c r="AH556" i="1"/>
  <c r="AH555" i="1"/>
  <c r="AH554" i="1"/>
  <c r="AH553" i="1"/>
  <c r="AH552" i="1"/>
  <c r="AH551" i="1"/>
  <c r="AH550" i="1"/>
  <c r="AH549" i="1"/>
  <c r="AH548" i="1"/>
  <c r="AH547" i="1"/>
  <c r="AH546" i="1"/>
  <c r="AH545" i="1"/>
  <c r="AH544" i="1"/>
  <c r="AH543" i="1"/>
  <c r="AH542" i="1"/>
  <c r="AH541" i="1"/>
  <c r="AH540" i="1"/>
  <c r="AH539" i="1"/>
  <c r="AH538" i="1"/>
  <c r="AH537" i="1"/>
  <c r="AH536" i="1"/>
  <c r="AH535" i="1"/>
  <c r="AH534" i="1"/>
  <c r="AH533" i="1"/>
  <c r="AH532" i="1"/>
  <c r="AH531" i="1"/>
  <c r="AH530" i="1"/>
  <c r="AH529" i="1"/>
  <c r="AH528" i="1"/>
  <c r="AH527" i="1"/>
  <c r="AH526" i="1"/>
  <c r="AH525" i="1"/>
  <c r="AH524" i="1"/>
  <c r="AH523" i="1"/>
  <c r="AH522" i="1"/>
  <c r="AH521" i="1"/>
  <c r="AH520" i="1"/>
  <c r="AH519" i="1"/>
  <c r="AH518" i="1"/>
  <c r="AH517" i="1"/>
  <c r="AH516" i="1"/>
  <c r="AH515" i="1"/>
  <c r="AH514" i="1"/>
  <c r="AH513" i="1"/>
  <c r="AH512" i="1"/>
  <c r="AH511" i="1"/>
  <c r="AH510" i="1"/>
  <c r="AH509" i="1"/>
  <c r="AH508" i="1"/>
  <c r="AH507" i="1"/>
  <c r="AH506" i="1"/>
  <c r="AH505" i="1"/>
  <c r="AH504" i="1"/>
  <c r="AH503" i="1"/>
  <c r="AH502" i="1"/>
  <c r="AH501" i="1"/>
  <c r="AH500" i="1"/>
  <c r="AH499" i="1"/>
  <c r="AH498" i="1"/>
  <c r="AH497" i="1"/>
  <c r="AH496" i="1"/>
  <c r="AH495" i="1"/>
  <c r="AH494" i="1"/>
  <c r="AH493" i="1"/>
  <c r="AH492" i="1"/>
  <c r="AH491" i="1"/>
  <c r="AH490" i="1"/>
  <c r="AH489" i="1"/>
  <c r="AH488" i="1"/>
  <c r="AH487" i="1"/>
  <c r="AH486" i="1"/>
  <c r="AH485" i="1"/>
  <c r="AH484" i="1"/>
  <c r="AH483" i="1"/>
  <c r="AH482" i="1"/>
  <c r="AH481" i="1"/>
  <c r="AH480" i="1"/>
  <c r="AH479" i="1"/>
  <c r="AH478" i="1"/>
  <c r="AH477" i="1"/>
  <c r="AH476" i="1"/>
  <c r="AH475" i="1"/>
  <c r="AH474" i="1"/>
  <c r="AH473" i="1"/>
  <c r="AH472" i="1"/>
  <c r="AH471" i="1"/>
  <c r="AH470" i="1"/>
  <c r="AH469" i="1"/>
  <c r="AH468" i="1"/>
  <c r="AH467" i="1"/>
  <c r="AH466" i="1"/>
  <c r="AH465" i="1"/>
  <c r="AH464" i="1"/>
  <c r="AH463" i="1"/>
  <c r="AH462" i="1"/>
  <c r="AH461" i="1"/>
  <c r="AH460" i="1"/>
  <c r="AH459" i="1"/>
  <c r="AH458" i="1"/>
  <c r="AH457" i="1"/>
  <c r="AH456" i="1"/>
  <c r="AH455" i="1"/>
  <c r="AH454" i="1"/>
  <c r="AH453" i="1"/>
  <c r="AH452" i="1"/>
  <c r="AH451" i="1"/>
  <c r="AH450" i="1"/>
  <c r="AH449" i="1"/>
  <c r="AH448" i="1"/>
  <c r="AH447" i="1"/>
  <c r="AH446" i="1"/>
  <c r="AH445" i="1"/>
  <c r="AH444" i="1"/>
  <c r="AH443" i="1"/>
  <c r="AH442" i="1"/>
  <c r="AH441" i="1"/>
  <c r="AH440" i="1"/>
  <c r="AH439" i="1"/>
  <c r="AH438" i="1"/>
  <c r="AH437" i="1"/>
  <c r="AH436" i="1"/>
  <c r="AH435" i="1"/>
  <c r="AH434" i="1"/>
  <c r="AH433" i="1"/>
  <c r="AH432" i="1"/>
  <c r="AH431" i="1"/>
  <c r="AH430" i="1"/>
  <c r="AH429" i="1"/>
  <c r="AH428" i="1"/>
  <c r="AH427" i="1"/>
  <c r="AH426" i="1"/>
  <c r="AH425" i="1"/>
  <c r="AH424" i="1"/>
  <c r="AH423" i="1"/>
  <c r="AH422" i="1"/>
  <c r="AH421" i="1"/>
  <c r="AH420" i="1"/>
  <c r="AH419" i="1"/>
  <c r="AH418" i="1"/>
  <c r="AH417" i="1"/>
  <c r="AH416" i="1"/>
  <c r="AH415" i="1"/>
  <c r="AH414" i="1"/>
  <c r="AH413" i="1"/>
  <c r="AH412" i="1"/>
  <c r="AH411" i="1"/>
  <c r="AH410" i="1"/>
  <c r="AH409" i="1"/>
  <c r="AH408" i="1"/>
  <c r="AH407" i="1"/>
  <c r="AH406" i="1"/>
  <c r="AH405" i="1"/>
  <c r="AH404" i="1"/>
  <c r="AH403" i="1"/>
  <c r="AH402" i="1"/>
  <c r="AH401" i="1"/>
  <c r="AH400" i="1"/>
  <c r="AH399" i="1"/>
  <c r="AH398" i="1"/>
  <c r="AH397" i="1"/>
  <c r="AH396" i="1"/>
  <c r="AH395" i="1"/>
  <c r="AH394" i="1"/>
  <c r="AH393" i="1"/>
  <c r="AH392" i="1"/>
  <c r="AH391" i="1"/>
  <c r="AH390" i="1"/>
  <c r="AH389" i="1"/>
  <c r="AH388" i="1"/>
  <c r="AH387" i="1"/>
  <c r="AH386" i="1"/>
  <c r="AH385" i="1"/>
  <c r="AH384" i="1"/>
  <c r="AH383" i="1"/>
  <c r="AH382" i="1"/>
  <c r="AH381" i="1"/>
  <c r="AH380" i="1"/>
  <c r="AH379" i="1"/>
  <c r="AH378" i="1"/>
  <c r="AH377" i="1"/>
  <c r="AH376" i="1"/>
  <c r="AH375" i="1"/>
  <c r="AH374" i="1"/>
  <c r="AH373" i="1"/>
  <c r="AH372" i="1"/>
  <c r="AH371" i="1"/>
  <c r="AH370" i="1"/>
  <c r="AH369" i="1"/>
  <c r="AH368" i="1"/>
  <c r="AH367" i="1"/>
  <c r="AH366" i="1"/>
  <c r="AH365" i="1"/>
  <c r="AH364" i="1"/>
  <c r="AH363" i="1"/>
  <c r="AH362" i="1"/>
  <c r="AH361" i="1"/>
  <c r="AH360" i="1"/>
  <c r="AH359" i="1"/>
  <c r="AH358" i="1"/>
  <c r="AH357" i="1"/>
  <c r="AH356" i="1"/>
  <c r="AH355" i="1"/>
  <c r="AH354" i="1"/>
  <c r="AH353" i="1"/>
  <c r="AH352" i="1"/>
  <c r="AH351" i="1"/>
  <c r="AH350" i="1"/>
  <c r="AH349" i="1"/>
  <c r="AH348" i="1"/>
  <c r="AH347" i="1"/>
  <c r="AH346" i="1"/>
  <c r="AH345" i="1"/>
  <c r="AH344" i="1"/>
  <c r="AH343" i="1"/>
  <c r="AH342" i="1"/>
  <c r="AH341" i="1"/>
  <c r="AH340" i="1"/>
  <c r="AH339" i="1"/>
  <c r="AH338" i="1"/>
  <c r="AH337" i="1"/>
  <c r="AH336" i="1"/>
  <c r="AH335" i="1"/>
  <c r="AH334" i="1"/>
  <c r="AH333" i="1"/>
  <c r="AH332" i="1"/>
  <c r="AH331" i="1"/>
  <c r="AH330" i="1"/>
  <c r="AH329" i="1"/>
  <c r="AH328" i="1"/>
  <c r="AH327" i="1"/>
  <c r="AH326" i="1"/>
  <c r="AH325" i="1"/>
  <c r="AH324" i="1"/>
  <c r="AH323" i="1"/>
  <c r="AH322" i="1"/>
  <c r="AH321" i="1"/>
  <c r="AH320" i="1"/>
  <c r="AH319" i="1"/>
  <c r="AH318" i="1"/>
  <c r="AH317" i="1"/>
  <c r="AH316" i="1"/>
  <c r="AH315" i="1"/>
  <c r="AH314" i="1"/>
  <c r="AH313" i="1"/>
  <c r="AH312" i="1"/>
  <c r="AH311" i="1"/>
  <c r="AH310" i="1"/>
  <c r="AH309" i="1"/>
  <c r="AH308" i="1"/>
  <c r="AH307" i="1"/>
  <c r="AH306" i="1"/>
  <c r="AH305" i="1"/>
  <c r="AH304" i="1"/>
  <c r="AH303" i="1"/>
  <c r="AH302" i="1"/>
  <c r="AH301" i="1"/>
  <c r="AH300" i="1"/>
  <c r="AH299" i="1"/>
  <c r="AH298" i="1"/>
  <c r="AH297" i="1"/>
  <c r="AH296" i="1"/>
  <c r="AH295" i="1"/>
  <c r="AH294" i="1"/>
  <c r="AH293" i="1"/>
  <c r="AH292" i="1"/>
  <c r="AH291" i="1"/>
  <c r="AH290" i="1"/>
  <c r="AH289" i="1"/>
  <c r="AH288" i="1"/>
  <c r="AH287" i="1"/>
  <c r="AH286" i="1"/>
  <c r="AH285" i="1"/>
  <c r="AH284" i="1"/>
  <c r="AH283" i="1"/>
  <c r="AH282" i="1"/>
  <c r="AH281" i="1"/>
  <c r="AH280" i="1"/>
  <c r="AH279" i="1"/>
  <c r="AH278" i="1"/>
  <c r="AH277" i="1"/>
  <c r="AH276" i="1"/>
  <c r="AH275" i="1"/>
  <c r="AH274" i="1"/>
  <c r="AH273" i="1"/>
  <c r="AH272" i="1"/>
  <c r="AH271" i="1"/>
  <c r="AH270" i="1"/>
  <c r="AH269" i="1"/>
  <c r="AH268" i="1"/>
  <c r="AH267" i="1"/>
  <c r="AH266" i="1"/>
  <c r="AH265" i="1"/>
  <c r="AH264" i="1"/>
  <c r="AH263" i="1"/>
  <c r="AH262" i="1"/>
  <c r="AH261" i="1"/>
  <c r="AH260" i="1"/>
  <c r="AH259" i="1"/>
  <c r="AH258" i="1"/>
  <c r="AH257" i="1"/>
  <c r="AH256" i="1"/>
  <c r="AH255" i="1"/>
  <c r="AH254" i="1"/>
  <c r="AH253" i="1"/>
  <c r="AH252" i="1"/>
  <c r="AH251" i="1"/>
  <c r="AH250" i="1"/>
  <c r="AH249" i="1"/>
  <c r="AH248" i="1"/>
  <c r="AH247" i="1"/>
  <c r="AH246" i="1"/>
  <c r="AH245" i="1"/>
  <c r="AH244" i="1"/>
  <c r="AH243" i="1"/>
  <c r="AH242" i="1"/>
  <c r="AH241" i="1"/>
  <c r="AH240" i="1"/>
  <c r="AH239" i="1"/>
  <c r="AH238" i="1"/>
  <c r="AH237" i="1"/>
  <c r="AH236" i="1"/>
  <c r="AH235" i="1"/>
  <c r="AH234" i="1"/>
  <c r="AH233" i="1"/>
  <c r="AH232" i="1"/>
  <c r="AH231" i="1"/>
  <c r="AH230" i="1"/>
  <c r="AH229" i="1"/>
  <c r="AH228" i="1"/>
  <c r="AH227" i="1"/>
  <c r="AH226" i="1"/>
  <c r="AH225" i="1"/>
  <c r="AH224" i="1"/>
  <c r="AH223" i="1"/>
  <c r="AH222" i="1"/>
  <c r="AH221" i="1"/>
  <c r="AH220" i="1"/>
  <c r="AH219" i="1"/>
  <c r="AH218" i="1"/>
  <c r="AH217" i="1"/>
  <c r="AH216" i="1"/>
  <c r="AH215" i="1"/>
  <c r="AH214" i="1"/>
  <c r="AH213" i="1"/>
  <c r="AH212" i="1"/>
  <c r="AH211" i="1"/>
  <c r="AH210" i="1"/>
  <c r="AH209" i="1"/>
  <c r="AH208" i="1"/>
  <c r="AH207" i="1"/>
  <c r="AH206" i="1"/>
  <c r="AH205" i="1"/>
  <c r="AH204" i="1"/>
  <c r="AH203" i="1"/>
  <c r="AH202" i="1"/>
  <c r="AH201" i="1"/>
  <c r="AH200" i="1"/>
  <c r="AH199" i="1"/>
  <c r="AH198" i="1"/>
  <c r="AH197" i="1"/>
  <c r="AH196" i="1"/>
  <c r="AH195" i="1"/>
  <c r="AH194" i="1"/>
  <c r="AH193" i="1"/>
  <c r="AH192" i="1"/>
  <c r="AH191" i="1"/>
  <c r="AH190" i="1"/>
  <c r="AH189" i="1"/>
  <c r="AH188" i="1"/>
  <c r="AH187" i="1"/>
  <c r="AH186" i="1"/>
  <c r="AH185" i="1"/>
  <c r="AH184" i="1"/>
  <c r="AH183" i="1"/>
  <c r="AH182" i="1"/>
  <c r="AH181" i="1"/>
  <c r="AH180" i="1"/>
  <c r="AH179" i="1"/>
  <c r="AH178" i="1"/>
  <c r="AH177" i="1"/>
  <c r="AH176" i="1"/>
  <c r="AH175" i="1"/>
  <c r="AH174" i="1"/>
  <c r="AH173" i="1"/>
  <c r="AH172" i="1"/>
  <c r="AH171" i="1"/>
  <c r="AH170" i="1"/>
  <c r="AH169" i="1"/>
  <c r="AH168" i="1"/>
  <c r="AH167" i="1"/>
  <c r="AH166" i="1"/>
  <c r="AH165" i="1"/>
  <c r="AH164" i="1"/>
  <c r="AH163" i="1"/>
  <c r="AH162" i="1"/>
  <c r="AH161" i="1"/>
  <c r="AH160" i="1"/>
  <c r="AH159" i="1"/>
  <c r="AH158" i="1"/>
  <c r="AH157" i="1"/>
  <c r="AH156" i="1"/>
  <c r="AH155" i="1"/>
  <c r="AH154" i="1"/>
  <c r="AH153" i="1"/>
  <c r="AH152" i="1"/>
  <c r="AH151" i="1"/>
  <c r="AH150" i="1"/>
  <c r="AH149" i="1"/>
  <c r="AH148" i="1"/>
  <c r="AH147" i="1"/>
  <c r="AH146" i="1"/>
  <c r="AH145" i="1"/>
  <c r="AH144" i="1"/>
  <c r="AH143" i="1"/>
  <c r="AH142" i="1"/>
  <c r="AH141" i="1"/>
  <c r="AH140" i="1"/>
  <c r="AH139" i="1"/>
  <c r="AH138" i="1"/>
  <c r="AH137" i="1"/>
  <c r="AH136" i="1"/>
  <c r="AH135" i="1"/>
  <c r="AH134" i="1"/>
  <c r="AH133" i="1"/>
  <c r="AH132" i="1"/>
  <c r="AH131" i="1"/>
  <c r="AH130" i="1"/>
  <c r="AH129" i="1"/>
  <c r="AH128" i="1"/>
  <c r="AH127" i="1"/>
  <c r="AH126" i="1"/>
  <c r="AH125" i="1"/>
  <c r="AH124" i="1"/>
  <c r="AH123" i="1"/>
  <c r="AH122" i="1"/>
  <c r="AH121" i="1"/>
  <c r="AH120" i="1"/>
  <c r="AH119" i="1"/>
  <c r="AH118" i="1"/>
  <c r="AH117" i="1"/>
  <c r="AH116" i="1"/>
  <c r="AH115" i="1"/>
  <c r="AH114" i="1"/>
  <c r="AH113" i="1"/>
  <c r="AH112" i="1"/>
  <c r="AH111" i="1"/>
  <c r="AH110" i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F677" i="1" l="1"/>
  <c r="Y677" i="1" l="1"/>
  <c r="X677" i="1"/>
  <c r="Z676" i="1"/>
  <c r="Z675" i="1"/>
  <c r="Z674" i="1"/>
  <c r="Z673" i="1"/>
  <c r="Z672" i="1"/>
  <c r="Z671" i="1"/>
  <c r="Z670" i="1"/>
  <c r="Z669" i="1"/>
  <c r="Z668" i="1"/>
  <c r="Z667" i="1"/>
  <c r="Z666" i="1"/>
  <c r="Z665" i="1"/>
  <c r="Z664" i="1"/>
  <c r="Z663" i="1"/>
  <c r="Z662" i="1"/>
  <c r="Z661" i="1"/>
  <c r="Z660" i="1"/>
  <c r="Z659" i="1"/>
  <c r="Z658" i="1"/>
  <c r="Z657" i="1"/>
  <c r="Z656" i="1"/>
  <c r="Z655" i="1"/>
  <c r="Z654" i="1"/>
  <c r="Z653" i="1"/>
  <c r="Z652" i="1"/>
  <c r="Z651" i="1"/>
  <c r="Z650" i="1"/>
  <c r="Z649" i="1"/>
  <c r="Z648" i="1"/>
  <c r="Z647" i="1"/>
  <c r="Z646" i="1"/>
  <c r="Z645" i="1"/>
  <c r="Z644" i="1"/>
  <c r="Z643" i="1"/>
  <c r="Z642" i="1"/>
  <c r="Z641" i="1"/>
  <c r="Z640" i="1"/>
  <c r="Z639" i="1"/>
  <c r="Z638" i="1"/>
  <c r="Z637" i="1"/>
  <c r="Z636" i="1"/>
  <c r="Z635" i="1"/>
  <c r="Z634" i="1"/>
  <c r="Z633" i="1"/>
  <c r="Z632" i="1"/>
  <c r="Z631" i="1"/>
  <c r="Z630" i="1"/>
  <c r="Z629" i="1"/>
  <c r="Z628" i="1"/>
  <c r="Z627" i="1"/>
  <c r="Z626" i="1"/>
  <c r="Z625" i="1"/>
  <c r="Z624" i="1"/>
  <c r="Z623" i="1"/>
  <c r="Z622" i="1"/>
  <c r="Z621" i="1"/>
  <c r="Z620" i="1"/>
  <c r="Z619" i="1"/>
  <c r="Z618" i="1"/>
  <c r="Z617" i="1"/>
  <c r="Z616" i="1"/>
  <c r="Z615" i="1"/>
  <c r="Z614" i="1"/>
  <c r="Z613" i="1"/>
  <c r="Z612" i="1"/>
  <c r="Z611" i="1"/>
  <c r="Z610" i="1"/>
  <c r="Z609" i="1"/>
  <c r="Z608" i="1"/>
  <c r="Z607" i="1"/>
  <c r="Z606" i="1"/>
  <c r="Z605" i="1"/>
  <c r="Z604" i="1"/>
  <c r="Z603" i="1"/>
  <c r="Z602" i="1"/>
  <c r="Z601" i="1"/>
  <c r="Z600" i="1"/>
  <c r="Z599" i="1"/>
  <c r="Z598" i="1"/>
  <c r="Z597" i="1"/>
  <c r="Z596" i="1"/>
  <c r="Z595" i="1"/>
  <c r="Z594" i="1"/>
  <c r="Z593" i="1"/>
  <c r="Z592" i="1"/>
  <c r="Z591" i="1"/>
  <c r="Z590" i="1"/>
  <c r="Z589" i="1"/>
  <c r="Z588" i="1"/>
  <c r="Z587" i="1"/>
  <c r="Z586" i="1"/>
  <c r="Z585" i="1"/>
  <c r="Z584" i="1"/>
  <c r="Z583" i="1"/>
  <c r="Z582" i="1"/>
  <c r="Z581" i="1"/>
  <c r="Z580" i="1"/>
  <c r="Z579" i="1"/>
  <c r="Z578" i="1"/>
  <c r="Z577" i="1"/>
  <c r="Z576" i="1"/>
  <c r="Z575" i="1"/>
  <c r="Z574" i="1"/>
  <c r="Z573" i="1"/>
  <c r="Z572" i="1"/>
  <c r="Z571" i="1"/>
  <c r="Z570" i="1"/>
  <c r="Z569" i="1"/>
  <c r="Z568" i="1"/>
  <c r="Z567" i="1"/>
  <c r="Z566" i="1"/>
  <c r="Z565" i="1"/>
  <c r="Z564" i="1"/>
  <c r="Z563" i="1"/>
  <c r="Z562" i="1"/>
  <c r="Z561" i="1"/>
  <c r="Z560" i="1"/>
  <c r="Z559" i="1"/>
  <c r="Z558" i="1"/>
  <c r="Z557" i="1"/>
  <c r="Z556" i="1"/>
  <c r="Z555" i="1"/>
  <c r="Z554" i="1"/>
  <c r="Z553" i="1"/>
  <c r="Z552" i="1"/>
  <c r="Z551" i="1"/>
  <c r="Z550" i="1"/>
  <c r="Z549" i="1"/>
  <c r="Z548" i="1"/>
  <c r="Z547" i="1"/>
  <c r="Z546" i="1"/>
  <c r="Z545" i="1"/>
  <c r="Z544" i="1"/>
  <c r="Z543" i="1"/>
  <c r="Z542" i="1"/>
  <c r="Z541" i="1"/>
  <c r="Z540" i="1"/>
  <c r="Z539" i="1"/>
  <c r="Z538" i="1"/>
  <c r="Z537" i="1"/>
  <c r="Z536" i="1"/>
  <c r="Z535" i="1"/>
  <c r="Z534" i="1"/>
  <c r="Z533" i="1"/>
  <c r="Z532" i="1"/>
  <c r="Z531" i="1"/>
  <c r="Z530" i="1"/>
  <c r="Z529" i="1"/>
  <c r="Z528" i="1"/>
  <c r="Z527" i="1"/>
  <c r="Z526" i="1"/>
  <c r="Z525" i="1"/>
  <c r="Z524" i="1"/>
  <c r="Z523" i="1"/>
  <c r="Z522" i="1"/>
  <c r="Z521" i="1"/>
  <c r="Z520" i="1"/>
  <c r="Z519" i="1"/>
  <c r="Z518" i="1"/>
  <c r="Z517" i="1"/>
  <c r="Z516" i="1"/>
  <c r="Z515" i="1"/>
  <c r="Z514" i="1"/>
  <c r="Z513" i="1"/>
  <c r="Z512" i="1"/>
  <c r="Z511" i="1"/>
  <c r="Z510" i="1"/>
  <c r="Z509" i="1"/>
  <c r="Z508" i="1"/>
  <c r="Z507" i="1"/>
  <c r="Z506" i="1"/>
  <c r="Z505" i="1"/>
  <c r="Z504" i="1"/>
  <c r="Z503" i="1"/>
  <c r="Z502" i="1"/>
  <c r="Z501" i="1"/>
  <c r="Z500" i="1"/>
  <c r="Z499" i="1"/>
  <c r="Z498" i="1"/>
  <c r="Z497" i="1"/>
  <c r="Z496" i="1"/>
  <c r="Z495" i="1"/>
  <c r="Z494" i="1"/>
  <c r="Z493" i="1"/>
  <c r="Z492" i="1"/>
  <c r="Z491" i="1"/>
  <c r="Z490" i="1"/>
  <c r="Z489" i="1"/>
  <c r="Z488" i="1"/>
  <c r="Z487" i="1"/>
  <c r="Z486" i="1"/>
  <c r="Z485" i="1"/>
  <c r="Z484" i="1"/>
  <c r="Z483" i="1"/>
  <c r="Z482" i="1"/>
  <c r="Z481" i="1"/>
  <c r="Z480" i="1"/>
  <c r="Z479" i="1"/>
  <c r="Z478" i="1"/>
  <c r="Z477" i="1"/>
  <c r="Z476" i="1"/>
  <c r="Z475" i="1"/>
  <c r="Z474" i="1"/>
  <c r="Z473" i="1"/>
  <c r="Z472" i="1"/>
  <c r="Z471" i="1"/>
  <c r="Z470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4" i="1"/>
  <c r="Z453" i="1"/>
  <c r="Z452" i="1"/>
  <c r="Z451" i="1"/>
  <c r="Z450" i="1"/>
  <c r="Z449" i="1"/>
  <c r="Z448" i="1"/>
  <c r="Z447" i="1"/>
  <c r="Z446" i="1"/>
  <c r="Z445" i="1"/>
  <c r="Z444" i="1"/>
  <c r="Z443" i="1"/>
  <c r="Z442" i="1"/>
  <c r="Z441" i="1"/>
  <c r="Z440" i="1"/>
  <c r="Z439" i="1"/>
  <c r="Z438" i="1"/>
  <c r="Z437" i="1"/>
  <c r="Z436" i="1"/>
  <c r="Z435" i="1"/>
  <c r="Z434" i="1"/>
  <c r="Z433" i="1"/>
  <c r="Z432" i="1"/>
  <c r="Z431" i="1"/>
  <c r="Z430" i="1"/>
  <c r="Z429" i="1"/>
  <c r="Z428" i="1"/>
  <c r="Z427" i="1"/>
  <c r="Z426" i="1"/>
  <c r="Z425" i="1"/>
  <c r="Z424" i="1"/>
  <c r="Z423" i="1"/>
  <c r="Z422" i="1"/>
  <c r="Z421" i="1"/>
  <c r="Z420" i="1"/>
  <c r="Z419" i="1"/>
  <c r="Z418" i="1"/>
  <c r="Z417" i="1"/>
  <c r="Z416" i="1"/>
  <c r="Z415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677" i="1" l="1"/>
  <c r="AK4" i="1" l="1"/>
  <c r="AE677" i="1"/>
  <c r="AG676" i="1" l="1"/>
  <c r="AG675" i="1"/>
  <c r="AG674" i="1"/>
  <c r="AG673" i="1"/>
  <c r="AG672" i="1"/>
  <c r="AG671" i="1"/>
  <c r="AG670" i="1"/>
  <c r="AG669" i="1"/>
  <c r="AG668" i="1"/>
  <c r="AG667" i="1"/>
  <c r="AG666" i="1"/>
  <c r="AG665" i="1"/>
  <c r="AG664" i="1"/>
  <c r="AG663" i="1"/>
  <c r="AG662" i="1"/>
  <c r="AG661" i="1"/>
  <c r="AG660" i="1"/>
  <c r="AG659" i="1"/>
  <c r="AG658" i="1"/>
  <c r="AG657" i="1"/>
  <c r="AG656" i="1"/>
  <c r="AG655" i="1"/>
  <c r="AG654" i="1"/>
  <c r="AG653" i="1"/>
  <c r="AG652" i="1"/>
  <c r="AG651" i="1"/>
  <c r="AG650" i="1"/>
  <c r="AG649" i="1"/>
  <c r="AG648" i="1"/>
  <c r="AG647" i="1"/>
  <c r="AG646" i="1"/>
  <c r="AG645" i="1"/>
  <c r="AG644" i="1"/>
  <c r="AG643" i="1"/>
  <c r="AG642" i="1"/>
  <c r="AG641" i="1"/>
  <c r="AG640" i="1"/>
  <c r="AG639" i="1"/>
  <c r="AG638" i="1"/>
  <c r="AG637" i="1"/>
  <c r="AG636" i="1"/>
  <c r="AG635" i="1"/>
  <c r="AG634" i="1"/>
  <c r="AG633" i="1"/>
  <c r="AG632" i="1"/>
  <c r="AG631" i="1"/>
  <c r="AG630" i="1"/>
  <c r="AG629" i="1"/>
  <c r="AG628" i="1"/>
  <c r="AG627" i="1"/>
  <c r="AG626" i="1"/>
  <c r="AG625" i="1"/>
  <c r="AG624" i="1"/>
  <c r="AG623" i="1"/>
  <c r="AG622" i="1"/>
  <c r="AG621" i="1"/>
  <c r="AG620" i="1"/>
  <c r="AG619" i="1"/>
  <c r="AG618" i="1"/>
  <c r="AG617" i="1"/>
  <c r="AG616" i="1"/>
  <c r="AG615" i="1"/>
  <c r="AG614" i="1"/>
  <c r="AG613" i="1"/>
  <c r="AG612" i="1"/>
  <c r="AG611" i="1"/>
  <c r="AG610" i="1"/>
  <c r="AG609" i="1"/>
  <c r="AG608" i="1"/>
  <c r="AG607" i="1"/>
  <c r="AG606" i="1"/>
  <c r="AG605" i="1"/>
  <c r="AG604" i="1"/>
  <c r="AG603" i="1"/>
  <c r="AG602" i="1"/>
  <c r="AG601" i="1"/>
  <c r="AG600" i="1"/>
  <c r="AG599" i="1"/>
  <c r="AG598" i="1"/>
  <c r="AG597" i="1"/>
  <c r="AG596" i="1"/>
  <c r="AG595" i="1"/>
  <c r="AG594" i="1"/>
  <c r="AG593" i="1"/>
  <c r="AG592" i="1"/>
  <c r="AG591" i="1"/>
  <c r="AG590" i="1"/>
  <c r="AG589" i="1"/>
  <c r="AG588" i="1"/>
  <c r="AG587" i="1"/>
  <c r="AG586" i="1"/>
  <c r="AG585" i="1"/>
  <c r="AG584" i="1"/>
  <c r="AG583" i="1"/>
  <c r="AG582" i="1"/>
  <c r="AG581" i="1"/>
  <c r="AG580" i="1"/>
  <c r="AG579" i="1"/>
  <c r="AG578" i="1"/>
  <c r="AG577" i="1"/>
  <c r="AG576" i="1"/>
  <c r="AG575" i="1"/>
  <c r="AG574" i="1"/>
  <c r="AG573" i="1"/>
  <c r="AG572" i="1"/>
  <c r="AG571" i="1"/>
  <c r="AG570" i="1"/>
  <c r="AG569" i="1"/>
  <c r="AG568" i="1"/>
  <c r="AG567" i="1"/>
  <c r="AG566" i="1"/>
  <c r="AG565" i="1"/>
  <c r="AG564" i="1"/>
  <c r="AG563" i="1"/>
  <c r="AG562" i="1"/>
  <c r="AG561" i="1"/>
  <c r="AG560" i="1"/>
  <c r="AG559" i="1"/>
  <c r="AG558" i="1"/>
  <c r="AG557" i="1"/>
  <c r="AG556" i="1"/>
  <c r="AG555" i="1"/>
  <c r="AG554" i="1"/>
  <c r="AG553" i="1"/>
  <c r="AG552" i="1"/>
  <c r="AG551" i="1"/>
  <c r="AG550" i="1"/>
  <c r="AG549" i="1"/>
  <c r="AG548" i="1"/>
  <c r="AG547" i="1"/>
  <c r="AG546" i="1"/>
  <c r="AG545" i="1"/>
  <c r="AG544" i="1"/>
  <c r="AG543" i="1"/>
  <c r="AG542" i="1"/>
  <c r="AG541" i="1"/>
  <c r="AG540" i="1"/>
  <c r="AG539" i="1"/>
  <c r="AG538" i="1"/>
  <c r="AG537" i="1"/>
  <c r="AG536" i="1"/>
  <c r="AG535" i="1"/>
  <c r="AG534" i="1"/>
  <c r="AG533" i="1"/>
  <c r="AG532" i="1"/>
  <c r="AG531" i="1"/>
  <c r="AG530" i="1"/>
  <c r="AG529" i="1"/>
  <c r="AG528" i="1"/>
  <c r="AG527" i="1"/>
  <c r="AG526" i="1"/>
  <c r="AG525" i="1"/>
  <c r="AG524" i="1"/>
  <c r="AG523" i="1"/>
  <c r="AG522" i="1"/>
  <c r="AG521" i="1"/>
  <c r="AG520" i="1"/>
  <c r="AG519" i="1"/>
  <c r="AG518" i="1"/>
  <c r="AG517" i="1"/>
  <c r="AG516" i="1"/>
  <c r="AG515" i="1"/>
  <c r="AG514" i="1"/>
  <c r="AG513" i="1"/>
  <c r="AG512" i="1"/>
  <c r="AG511" i="1"/>
  <c r="AG510" i="1"/>
  <c r="AG509" i="1"/>
  <c r="AG508" i="1"/>
  <c r="AG507" i="1"/>
  <c r="AG506" i="1"/>
  <c r="AG505" i="1"/>
  <c r="AG504" i="1"/>
  <c r="AG503" i="1"/>
  <c r="AG502" i="1"/>
  <c r="AG501" i="1"/>
  <c r="AG500" i="1"/>
  <c r="AG499" i="1"/>
  <c r="AG498" i="1"/>
  <c r="AG497" i="1"/>
  <c r="AG496" i="1"/>
  <c r="AG495" i="1"/>
  <c r="AG494" i="1"/>
  <c r="AG493" i="1"/>
  <c r="AG492" i="1"/>
  <c r="AG491" i="1"/>
  <c r="AG490" i="1"/>
  <c r="AG489" i="1"/>
  <c r="AG488" i="1"/>
  <c r="AG487" i="1"/>
  <c r="AG486" i="1"/>
  <c r="AG485" i="1"/>
  <c r="AG484" i="1"/>
  <c r="AG483" i="1"/>
  <c r="AG482" i="1"/>
  <c r="AG481" i="1"/>
  <c r="AG480" i="1"/>
  <c r="AG479" i="1"/>
  <c r="AG478" i="1"/>
  <c r="AG477" i="1"/>
  <c r="AG476" i="1"/>
  <c r="AG475" i="1"/>
  <c r="AG474" i="1"/>
  <c r="AG473" i="1"/>
  <c r="AG472" i="1"/>
  <c r="AG471" i="1"/>
  <c r="AG470" i="1"/>
  <c r="AG469" i="1"/>
  <c r="AG468" i="1"/>
  <c r="AG467" i="1"/>
  <c r="AG466" i="1"/>
  <c r="AG465" i="1"/>
  <c r="AG464" i="1"/>
  <c r="AG463" i="1"/>
  <c r="AG462" i="1"/>
  <c r="AG461" i="1"/>
  <c r="AG460" i="1"/>
  <c r="AG459" i="1"/>
  <c r="AG458" i="1"/>
  <c r="AG457" i="1"/>
  <c r="AG456" i="1"/>
  <c r="AG455" i="1"/>
  <c r="AG454" i="1"/>
  <c r="AG453" i="1"/>
  <c r="AG452" i="1"/>
  <c r="AG451" i="1"/>
  <c r="AG450" i="1"/>
  <c r="AG449" i="1"/>
  <c r="AG448" i="1"/>
  <c r="AG447" i="1"/>
  <c r="AG446" i="1"/>
  <c r="AG445" i="1"/>
  <c r="AG444" i="1"/>
  <c r="AG443" i="1"/>
  <c r="AG442" i="1"/>
  <c r="AG441" i="1"/>
  <c r="AG440" i="1"/>
  <c r="AG439" i="1"/>
  <c r="AG438" i="1"/>
  <c r="AG437" i="1"/>
  <c r="AG436" i="1"/>
  <c r="AG435" i="1"/>
  <c r="AG434" i="1"/>
  <c r="AG433" i="1"/>
  <c r="AG432" i="1"/>
  <c r="AG431" i="1"/>
  <c r="AG430" i="1"/>
  <c r="AG429" i="1"/>
  <c r="AG428" i="1"/>
  <c r="AG427" i="1"/>
  <c r="AG426" i="1"/>
  <c r="AG425" i="1"/>
  <c r="AG424" i="1"/>
  <c r="AG423" i="1"/>
  <c r="AG422" i="1"/>
  <c r="AG421" i="1"/>
  <c r="AG420" i="1"/>
  <c r="AG419" i="1"/>
  <c r="AG418" i="1"/>
  <c r="AG417" i="1"/>
  <c r="AG416" i="1"/>
  <c r="AG415" i="1"/>
  <c r="AG414" i="1"/>
  <c r="AG413" i="1"/>
  <c r="AG412" i="1"/>
  <c r="AG411" i="1"/>
  <c r="AG410" i="1"/>
  <c r="AG409" i="1"/>
  <c r="AG408" i="1"/>
  <c r="AG407" i="1"/>
  <c r="AG406" i="1"/>
  <c r="AG405" i="1"/>
  <c r="AG404" i="1"/>
  <c r="AG403" i="1"/>
  <c r="AG402" i="1"/>
  <c r="AG401" i="1"/>
  <c r="AG400" i="1"/>
  <c r="AG399" i="1"/>
  <c r="AG398" i="1"/>
  <c r="AG397" i="1"/>
  <c r="AG396" i="1"/>
  <c r="AG395" i="1"/>
  <c r="AG394" i="1"/>
  <c r="AG393" i="1"/>
  <c r="AG392" i="1"/>
  <c r="AG391" i="1"/>
  <c r="AG390" i="1"/>
  <c r="AG389" i="1"/>
  <c r="AG388" i="1"/>
  <c r="AG387" i="1"/>
  <c r="AG386" i="1"/>
  <c r="AG385" i="1"/>
  <c r="AG384" i="1"/>
  <c r="AG383" i="1"/>
  <c r="AG382" i="1"/>
  <c r="AG381" i="1"/>
  <c r="AG380" i="1"/>
  <c r="AG379" i="1"/>
  <c r="AG378" i="1"/>
  <c r="AG377" i="1"/>
  <c r="AG376" i="1"/>
  <c r="AG375" i="1"/>
  <c r="AG374" i="1"/>
  <c r="AG373" i="1"/>
  <c r="AG372" i="1"/>
  <c r="AG371" i="1"/>
  <c r="AG370" i="1"/>
  <c r="AG369" i="1"/>
  <c r="AG368" i="1"/>
  <c r="AG367" i="1"/>
  <c r="AG366" i="1"/>
  <c r="AG365" i="1"/>
  <c r="AG364" i="1"/>
  <c r="AG363" i="1"/>
  <c r="AG362" i="1"/>
  <c r="AG361" i="1"/>
  <c r="AG360" i="1"/>
  <c r="AG359" i="1"/>
  <c r="AG358" i="1"/>
  <c r="AG357" i="1"/>
  <c r="AG356" i="1"/>
  <c r="AG355" i="1"/>
  <c r="AG354" i="1"/>
  <c r="AG353" i="1"/>
  <c r="AG352" i="1"/>
  <c r="AG351" i="1"/>
  <c r="AG350" i="1"/>
  <c r="AG349" i="1"/>
  <c r="AG348" i="1"/>
  <c r="AG347" i="1"/>
  <c r="AG346" i="1"/>
  <c r="AG345" i="1"/>
  <c r="AG344" i="1"/>
  <c r="AG343" i="1"/>
  <c r="AG342" i="1"/>
  <c r="AG341" i="1"/>
  <c r="AG340" i="1"/>
  <c r="AG339" i="1"/>
  <c r="AG338" i="1"/>
  <c r="AG337" i="1"/>
  <c r="AG336" i="1"/>
  <c r="AG335" i="1"/>
  <c r="AG334" i="1"/>
  <c r="AG333" i="1"/>
  <c r="AG332" i="1"/>
  <c r="AG331" i="1"/>
  <c r="AG330" i="1"/>
  <c r="AG329" i="1"/>
  <c r="AG328" i="1"/>
  <c r="AG327" i="1"/>
  <c r="AG326" i="1"/>
  <c r="AG325" i="1"/>
  <c r="AG324" i="1"/>
  <c r="AG323" i="1"/>
  <c r="AG322" i="1"/>
  <c r="AG321" i="1"/>
  <c r="AG320" i="1"/>
  <c r="AG319" i="1"/>
  <c r="AG318" i="1"/>
  <c r="AG317" i="1"/>
  <c r="AG316" i="1"/>
  <c r="AG315" i="1"/>
  <c r="AG314" i="1"/>
  <c r="AG313" i="1"/>
  <c r="AG312" i="1"/>
  <c r="AG311" i="1"/>
  <c r="AG310" i="1"/>
  <c r="AG309" i="1"/>
  <c r="AG308" i="1"/>
  <c r="AG307" i="1"/>
  <c r="AG306" i="1"/>
  <c r="AG305" i="1"/>
  <c r="AG304" i="1"/>
  <c r="AG303" i="1"/>
  <c r="AG302" i="1"/>
  <c r="AG301" i="1"/>
  <c r="AG300" i="1"/>
  <c r="AG299" i="1"/>
  <c r="AG298" i="1"/>
  <c r="AG297" i="1"/>
  <c r="AG296" i="1"/>
  <c r="AG295" i="1"/>
  <c r="AG294" i="1"/>
  <c r="AG293" i="1"/>
  <c r="AG292" i="1"/>
  <c r="AG291" i="1"/>
  <c r="AG290" i="1"/>
  <c r="AG289" i="1"/>
  <c r="AG288" i="1"/>
  <c r="AG287" i="1"/>
  <c r="AG286" i="1"/>
  <c r="AG285" i="1"/>
  <c r="AG284" i="1"/>
  <c r="AG283" i="1"/>
  <c r="AG282" i="1"/>
  <c r="AG281" i="1"/>
  <c r="AG280" i="1"/>
  <c r="AG279" i="1"/>
  <c r="AG278" i="1"/>
  <c r="AG277" i="1"/>
  <c r="AG276" i="1"/>
  <c r="AG275" i="1"/>
  <c r="AG274" i="1"/>
  <c r="AG273" i="1"/>
  <c r="AG272" i="1"/>
  <c r="AG271" i="1"/>
  <c r="AG270" i="1"/>
  <c r="AG269" i="1"/>
  <c r="AG268" i="1"/>
  <c r="AG267" i="1"/>
  <c r="AG266" i="1"/>
  <c r="AG265" i="1"/>
  <c r="AG264" i="1"/>
  <c r="AG263" i="1"/>
  <c r="AG262" i="1"/>
  <c r="AG261" i="1"/>
  <c r="AG260" i="1"/>
  <c r="AG259" i="1"/>
  <c r="AG258" i="1"/>
  <c r="AG257" i="1"/>
  <c r="AG256" i="1"/>
  <c r="AG255" i="1"/>
  <c r="AG254" i="1"/>
  <c r="AG253" i="1"/>
  <c r="AG252" i="1"/>
  <c r="AG251" i="1"/>
  <c r="AG250" i="1"/>
  <c r="AG249" i="1"/>
  <c r="AG248" i="1"/>
  <c r="AG247" i="1"/>
  <c r="AG246" i="1"/>
  <c r="AG245" i="1"/>
  <c r="AG244" i="1"/>
  <c r="AG243" i="1"/>
  <c r="AG242" i="1"/>
  <c r="AG241" i="1"/>
  <c r="AG240" i="1"/>
  <c r="AG239" i="1"/>
  <c r="AG238" i="1"/>
  <c r="AG237" i="1"/>
  <c r="AG236" i="1"/>
  <c r="AG235" i="1"/>
  <c r="AG234" i="1"/>
  <c r="AG233" i="1"/>
  <c r="AG232" i="1"/>
  <c r="AG231" i="1"/>
  <c r="AG230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02" i="1"/>
  <c r="AG201" i="1"/>
  <c r="AG200" i="1"/>
  <c r="AG199" i="1"/>
  <c r="AG198" i="1"/>
  <c r="AG197" i="1"/>
  <c r="AG196" i="1"/>
  <c r="AG195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Q677" i="1"/>
  <c r="W676" i="1"/>
  <c r="W675" i="1"/>
  <c r="W674" i="1"/>
  <c r="W673" i="1"/>
  <c r="W672" i="1"/>
  <c r="W671" i="1"/>
  <c r="W670" i="1"/>
  <c r="W669" i="1"/>
  <c r="W668" i="1"/>
  <c r="W667" i="1"/>
  <c r="W666" i="1"/>
  <c r="W665" i="1"/>
  <c r="W664" i="1"/>
  <c r="W663" i="1"/>
  <c r="W662" i="1"/>
  <c r="W661" i="1"/>
  <c r="W660" i="1"/>
  <c r="W659" i="1"/>
  <c r="W658" i="1"/>
  <c r="W657" i="1"/>
  <c r="W656" i="1"/>
  <c r="W655" i="1"/>
  <c r="W654" i="1"/>
  <c r="W653" i="1"/>
  <c r="W652" i="1"/>
  <c r="W651" i="1"/>
  <c r="W650" i="1"/>
  <c r="W649" i="1"/>
  <c r="W648" i="1"/>
  <c r="W647" i="1"/>
  <c r="W646" i="1"/>
  <c r="W645" i="1"/>
  <c r="W644" i="1"/>
  <c r="W643" i="1"/>
  <c r="W642" i="1"/>
  <c r="W641" i="1"/>
  <c r="W640" i="1"/>
  <c r="W639" i="1"/>
  <c r="W638" i="1"/>
  <c r="W637" i="1"/>
  <c r="W636" i="1"/>
  <c r="W635" i="1"/>
  <c r="W634" i="1"/>
  <c r="W633" i="1"/>
  <c r="W632" i="1"/>
  <c r="W631" i="1"/>
  <c r="W630" i="1"/>
  <c r="W629" i="1"/>
  <c r="W628" i="1"/>
  <c r="W627" i="1"/>
  <c r="W626" i="1"/>
  <c r="W625" i="1"/>
  <c r="W624" i="1"/>
  <c r="W623" i="1"/>
  <c r="W622" i="1"/>
  <c r="W621" i="1"/>
  <c r="W620" i="1"/>
  <c r="W619" i="1"/>
  <c r="W618" i="1"/>
  <c r="W617" i="1"/>
  <c r="W616" i="1"/>
  <c r="W615" i="1"/>
  <c r="W614" i="1"/>
  <c r="W613" i="1"/>
  <c r="W612" i="1"/>
  <c r="W611" i="1"/>
  <c r="W610" i="1"/>
  <c r="W609" i="1"/>
  <c r="W608" i="1"/>
  <c r="W607" i="1"/>
  <c r="W606" i="1"/>
  <c r="W605" i="1"/>
  <c r="W604" i="1"/>
  <c r="W603" i="1"/>
  <c r="W602" i="1"/>
  <c r="W601" i="1"/>
  <c r="W600" i="1"/>
  <c r="W599" i="1"/>
  <c r="W598" i="1"/>
  <c r="W597" i="1"/>
  <c r="W596" i="1"/>
  <c r="W595" i="1"/>
  <c r="W594" i="1"/>
  <c r="W593" i="1"/>
  <c r="W592" i="1"/>
  <c r="W591" i="1"/>
  <c r="W590" i="1"/>
  <c r="W589" i="1"/>
  <c r="W588" i="1"/>
  <c r="W587" i="1"/>
  <c r="W586" i="1"/>
  <c r="W585" i="1"/>
  <c r="W584" i="1"/>
  <c r="W583" i="1"/>
  <c r="W582" i="1"/>
  <c r="W581" i="1"/>
  <c r="W580" i="1"/>
  <c r="W579" i="1"/>
  <c r="W578" i="1"/>
  <c r="W577" i="1"/>
  <c r="W576" i="1"/>
  <c r="W575" i="1"/>
  <c r="W574" i="1"/>
  <c r="W573" i="1"/>
  <c r="W572" i="1"/>
  <c r="W571" i="1"/>
  <c r="W570" i="1"/>
  <c r="W569" i="1"/>
  <c r="W568" i="1"/>
  <c r="W567" i="1"/>
  <c r="W566" i="1"/>
  <c r="W565" i="1"/>
  <c r="W564" i="1"/>
  <c r="W563" i="1"/>
  <c r="W562" i="1"/>
  <c r="W561" i="1"/>
  <c r="W560" i="1"/>
  <c r="W559" i="1"/>
  <c r="W558" i="1"/>
  <c r="W557" i="1"/>
  <c r="W556" i="1"/>
  <c r="W555" i="1"/>
  <c r="W554" i="1"/>
  <c r="W553" i="1"/>
  <c r="W552" i="1"/>
  <c r="W551" i="1"/>
  <c r="W550" i="1"/>
  <c r="W549" i="1"/>
  <c r="W548" i="1"/>
  <c r="W547" i="1"/>
  <c r="W546" i="1"/>
  <c r="W545" i="1"/>
  <c r="W544" i="1"/>
  <c r="W543" i="1"/>
  <c r="W542" i="1"/>
  <c r="W541" i="1"/>
  <c r="W540" i="1"/>
  <c r="W539" i="1"/>
  <c r="W538" i="1"/>
  <c r="W537" i="1"/>
  <c r="W536" i="1"/>
  <c r="W535" i="1"/>
  <c r="W534" i="1"/>
  <c r="W533" i="1"/>
  <c r="W532" i="1"/>
  <c r="W531" i="1"/>
  <c r="W530" i="1"/>
  <c r="W529" i="1"/>
  <c r="W528" i="1"/>
  <c r="W527" i="1"/>
  <c r="W526" i="1"/>
  <c r="W525" i="1"/>
  <c r="W524" i="1"/>
  <c r="W523" i="1"/>
  <c r="W522" i="1"/>
  <c r="W521" i="1"/>
  <c r="W520" i="1"/>
  <c r="W519" i="1"/>
  <c r="W518" i="1"/>
  <c r="W517" i="1"/>
  <c r="W516" i="1"/>
  <c r="W515" i="1"/>
  <c r="W514" i="1"/>
  <c r="W513" i="1"/>
  <c r="W512" i="1"/>
  <c r="W511" i="1"/>
  <c r="W510" i="1"/>
  <c r="W509" i="1"/>
  <c r="W508" i="1"/>
  <c r="W507" i="1"/>
  <c r="W506" i="1"/>
  <c r="W505" i="1"/>
  <c r="W504" i="1"/>
  <c r="W503" i="1"/>
  <c r="W502" i="1"/>
  <c r="W501" i="1"/>
  <c r="W500" i="1"/>
  <c r="W499" i="1"/>
  <c r="W498" i="1"/>
  <c r="W497" i="1"/>
  <c r="W496" i="1"/>
  <c r="W495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V677" i="1"/>
  <c r="AK676" i="1"/>
  <c r="AK675" i="1"/>
  <c r="AK674" i="1"/>
  <c r="AK673" i="1"/>
  <c r="AK672" i="1"/>
  <c r="AK671" i="1"/>
  <c r="AK670" i="1"/>
  <c r="AK669" i="1"/>
  <c r="AK668" i="1"/>
  <c r="AK667" i="1"/>
  <c r="AK666" i="1"/>
  <c r="AK665" i="1"/>
  <c r="AK664" i="1"/>
  <c r="AK663" i="1"/>
  <c r="AK662" i="1"/>
  <c r="AK661" i="1"/>
  <c r="AK660" i="1"/>
  <c r="AK659" i="1"/>
  <c r="AK658" i="1"/>
  <c r="AK657" i="1"/>
  <c r="AK656" i="1"/>
  <c r="AK655" i="1"/>
  <c r="AK654" i="1"/>
  <c r="AK653" i="1"/>
  <c r="AK652" i="1"/>
  <c r="AK651" i="1"/>
  <c r="AK650" i="1"/>
  <c r="AK649" i="1"/>
  <c r="AK648" i="1"/>
  <c r="AK647" i="1"/>
  <c r="AK646" i="1"/>
  <c r="AK645" i="1"/>
  <c r="AK644" i="1"/>
  <c r="AK643" i="1"/>
  <c r="AK642" i="1"/>
  <c r="AK641" i="1"/>
  <c r="AK640" i="1"/>
  <c r="AK639" i="1"/>
  <c r="AK638" i="1"/>
  <c r="AK637" i="1"/>
  <c r="AK636" i="1"/>
  <c r="AK635" i="1"/>
  <c r="AK634" i="1"/>
  <c r="AK633" i="1"/>
  <c r="AK632" i="1"/>
  <c r="AK631" i="1"/>
  <c r="AK630" i="1"/>
  <c r="AK629" i="1"/>
  <c r="AK628" i="1"/>
  <c r="AK627" i="1"/>
  <c r="AK626" i="1"/>
  <c r="AK625" i="1"/>
  <c r="AK624" i="1"/>
  <c r="AK623" i="1"/>
  <c r="AK622" i="1"/>
  <c r="AK621" i="1"/>
  <c r="AK620" i="1"/>
  <c r="AK619" i="1"/>
  <c r="AK618" i="1"/>
  <c r="AK617" i="1"/>
  <c r="AK616" i="1"/>
  <c r="AK615" i="1"/>
  <c r="AK614" i="1"/>
  <c r="AK613" i="1"/>
  <c r="AK612" i="1"/>
  <c r="AK611" i="1"/>
  <c r="AK610" i="1"/>
  <c r="AK609" i="1"/>
  <c r="AK608" i="1"/>
  <c r="AK607" i="1"/>
  <c r="AK606" i="1"/>
  <c r="AK605" i="1"/>
  <c r="AK604" i="1"/>
  <c r="AK603" i="1"/>
  <c r="AK602" i="1"/>
  <c r="AK601" i="1"/>
  <c r="AK600" i="1"/>
  <c r="AK599" i="1"/>
  <c r="AK598" i="1"/>
  <c r="AK597" i="1"/>
  <c r="AK596" i="1"/>
  <c r="AK595" i="1"/>
  <c r="AK594" i="1"/>
  <c r="AK593" i="1"/>
  <c r="AK592" i="1"/>
  <c r="AK591" i="1"/>
  <c r="AK590" i="1"/>
  <c r="AK589" i="1"/>
  <c r="AK588" i="1"/>
  <c r="AK587" i="1"/>
  <c r="AK586" i="1"/>
  <c r="AK585" i="1"/>
  <c r="AK584" i="1"/>
  <c r="AK583" i="1"/>
  <c r="AK582" i="1"/>
  <c r="AK581" i="1"/>
  <c r="AK580" i="1"/>
  <c r="AK579" i="1"/>
  <c r="AK578" i="1"/>
  <c r="AK577" i="1"/>
  <c r="AK576" i="1"/>
  <c r="AK575" i="1"/>
  <c r="AK574" i="1"/>
  <c r="AK573" i="1"/>
  <c r="AK572" i="1"/>
  <c r="AK571" i="1"/>
  <c r="AK570" i="1"/>
  <c r="AK569" i="1"/>
  <c r="AK568" i="1"/>
  <c r="AK567" i="1"/>
  <c r="AK566" i="1"/>
  <c r="AK565" i="1"/>
  <c r="AK564" i="1"/>
  <c r="AK563" i="1"/>
  <c r="AK562" i="1"/>
  <c r="AK561" i="1"/>
  <c r="AK560" i="1"/>
  <c r="AK559" i="1"/>
  <c r="AK558" i="1"/>
  <c r="AK557" i="1"/>
  <c r="AK556" i="1"/>
  <c r="AK555" i="1"/>
  <c r="AK554" i="1"/>
  <c r="AK553" i="1"/>
  <c r="AK552" i="1"/>
  <c r="AK551" i="1"/>
  <c r="AK550" i="1"/>
  <c r="AK549" i="1"/>
  <c r="AK548" i="1"/>
  <c r="AK547" i="1"/>
  <c r="AK546" i="1"/>
  <c r="AK545" i="1"/>
  <c r="AK544" i="1"/>
  <c r="AK543" i="1"/>
  <c r="AK542" i="1"/>
  <c r="AK541" i="1"/>
  <c r="AK540" i="1"/>
  <c r="AK539" i="1"/>
  <c r="AK538" i="1"/>
  <c r="AK537" i="1"/>
  <c r="AK536" i="1"/>
  <c r="AK535" i="1"/>
  <c r="AK534" i="1"/>
  <c r="AK533" i="1"/>
  <c r="AK532" i="1"/>
  <c r="AK531" i="1"/>
  <c r="AK530" i="1"/>
  <c r="AK529" i="1"/>
  <c r="AK528" i="1"/>
  <c r="AK527" i="1"/>
  <c r="AK526" i="1"/>
  <c r="AK525" i="1"/>
  <c r="AK524" i="1"/>
  <c r="AK523" i="1"/>
  <c r="AK522" i="1"/>
  <c r="AK521" i="1"/>
  <c r="AK520" i="1"/>
  <c r="AK519" i="1"/>
  <c r="AK518" i="1"/>
  <c r="AK517" i="1"/>
  <c r="AK516" i="1"/>
  <c r="AK515" i="1"/>
  <c r="AK514" i="1"/>
  <c r="AK513" i="1"/>
  <c r="AK512" i="1"/>
  <c r="AK511" i="1"/>
  <c r="AK510" i="1"/>
  <c r="AK509" i="1"/>
  <c r="AK508" i="1"/>
  <c r="AK507" i="1"/>
  <c r="AK506" i="1"/>
  <c r="AK505" i="1"/>
  <c r="AK504" i="1"/>
  <c r="AK503" i="1"/>
  <c r="AK502" i="1"/>
  <c r="AK501" i="1"/>
  <c r="AK500" i="1"/>
  <c r="AK499" i="1"/>
  <c r="AK498" i="1"/>
  <c r="AK497" i="1"/>
  <c r="AK496" i="1"/>
  <c r="AK495" i="1"/>
  <c r="AK494" i="1"/>
  <c r="AK493" i="1"/>
  <c r="AK492" i="1"/>
  <c r="AK491" i="1"/>
  <c r="AK490" i="1"/>
  <c r="AK489" i="1"/>
  <c r="AK488" i="1"/>
  <c r="AK487" i="1"/>
  <c r="AK486" i="1"/>
  <c r="AK485" i="1"/>
  <c r="AK484" i="1"/>
  <c r="AK483" i="1"/>
  <c r="AK482" i="1"/>
  <c r="AK481" i="1"/>
  <c r="AK480" i="1"/>
  <c r="AK479" i="1"/>
  <c r="AK478" i="1"/>
  <c r="AK477" i="1"/>
  <c r="AK476" i="1"/>
  <c r="AK475" i="1"/>
  <c r="AK474" i="1"/>
  <c r="AK473" i="1"/>
  <c r="AK472" i="1"/>
  <c r="AK471" i="1"/>
  <c r="AK470" i="1"/>
  <c r="AK469" i="1"/>
  <c r="AK468" i="1"/>
  <c r="AK467" i="1"/>
  <c r="AK466" i="1"/>
  <c r="AK465" i="1"/>
  <c r="AK464" i="1"/>
  <c r="AK463" i="1"/>
  <c r="AK462" i="1"/>
  <c r="AK461" i="1"/>
  <c r="AK460" i="1"/>
  <c r="AK459" i="1"/>
  <c r="AK458" i="1"/>
  <c r="AK457" i="1"/>
  <c r="AK456" i="1"/>
  <c r="AK455" i="1"/>
  <c r="AK454" i="1"/>
  <c r="AK453" i="1"/>
  <c r="AK452" i="1"/>
  <c r="AK451" i="1"/>
  <c r="AK450" i="1"/>
  <c r="AK449" i="1"/>
  <c r="AK448" i="1"/>
  <c r="AK447" i="1"/>
  <c r="AK446" i="1"/>
  <c r="AK445" i="1"/>
  <c r="AK444" i="1"/>
  <c r="AK443" i="1"/>
  <c r="AK442" i="1"/>
  <c r="AK441" i="1"/>
  <c r="AK440" i="1"/>
  <c r="AK439" i="1"/>
  <c r="AK438" i="1"/>
  <c r="AK437" i="1"/>
  <c r="AK436" i="1"/>
  <c r="AK435" i="1"/>
  <c r="AK434" i="1"/>
  <c r="AK433" i="1"/>
  <c r="AK432" i="1"/>
  <c r="AK431" i="1"/>
  <c r="AK430" i="1"/>
  <c r="AK429" i="1"/>
  <c r="AK428" i="1"/>
  <c r="AK427" i="1"/>
  <c r="AK426" i="1"/>
  <c r="AK425" i="1"/>
  <c r="AK424" i="1"/>
  <c r="AK423" i="1"/>
  <c r="AK422" i="1"/>
  <c r="AK421" i="1"/>
  <c r="AK420" i="1"/>
  <c r="AK419" i="1"/>
  <c r="AK418" i="1"/>
  <c r="AK417" i="1"/>
  <c r="AK416" i="1"/>
  <c r="AK415" i="1"/>
  <c r="AK414" i="1"/>
  <c r="AK413" i="1"/>
  <c r="AK412" i="1"/>
  <c r="AK411" i="1"/>
  <c r="AK410" i="1"/>
  <c r="AK409" i="1"/>
  <c r="AK408" i="1"/>
  <c r="AK407" i="1"/>
  <c r="AK406" i="1"/>
  <c r="AK405" i="1"/>
  <c r="AK404" i="1"/>
  <c r="AK403" i="1"/>
  <c r="AK402" i="1"/>
  <c r="AK401" i="1"/>
  <c r="AK400" i="1"/>
  <c r="AK399" i="1"/>
  <c r="AK398" i="1"/>
  <c r="AK397" i="1"/>
  <c r="AK396" i="1"/>
  <c r="AK395" i="1"/>
  <c r="AK394" i="1"/>
  <c r="AK393" i="1"/>
  <c r="AK392" i="1"/>
  <c r="AK391" i="1"/>
  <c r="AK390" i="1"/>
  <c r="AK389" i="1"/>
  <c r="AK388" i="1"/>
  <c r="AK387" i="1"/>
  <c r="AK386" i="1"/>
  <c r="AK385" i="1"/>
  <c r="AK384" i="1"/>
  <c r="AK383" i="1"/>
  <c r="AK382" i="1"/>
  <c r="AK381" i="1"/>
  <c r="AK380" i="1"/>
  <c r="AK379" i="1"/>
  <c r="AK378" i="1"/>
  <c r="AK377" i="1"/>
  <c r="AK376" i="1"/>
  <c r="AK375" i="1"/>
  <c r="AK374" i="1"/>
  <c r="AK373" i="1"/>
  <c r="AK372" i="1"/>
  <c r="AK371" i="1"/>
  <c r="AK370" i="1"/>
  <c r="AK369" i="1"/>
  <c r="AK368" i="1"/>
  <c r="AK367" i="1"/>
  <c r="AK366" i="1"/>
  <c r="AK365" i="1"/>
  <c r="AK364" i="1"/>
  <c r="AK363" i="1"/>
  <c r="AK362" i="1"/>
  <c r="AK361" i="1"/>
  <c r="AK360" i="1"/>
  <c r="AK359" i="1"/>
  <c r="AK358" i="1"/>
  <c r="AK357" i="1"/>
  <c r="AK356" i="1"/>
  <c r="AK355" i="1"/>
  <c r="AK354" i="1"/>
  <c r="AK353" i="1"/>
  <c r="AK352" i="1"/>
  <c r="AK351" i="1"/>
  <c r="AK350" i="1"/>
  <c r="AK349" i="1"/>
  <c r="AK348" i="1"/>
  <c r="AK347" i="1"/>
  <c r="AK346" i="1"/>
  <c r="AK345" i="1"/>
  <c r="AK344" i="1"/>
  <c r="AK343" i="1"/>
  <c r="AK342" i="1"/>
  <c r="AK341" i="1"/>
  <c r="AK340" i="1"/>
  <c r="AK339" i="1"/>
  <c r="AK338" i="1"/>
  <c r="AK337" i="1"/>
  <c r="AK336" i="1"/>
  <c r="AK335" i="1"/>
  <c r="AK334" i="1"/>
  <c r="AK333" i="1"/>
  <c r="AK332" i="1"/>
  <c r="AK331" i="1"/>
  <c r="AK330" i="1"/>
  <c r="AK329" i="1"/>
  <c r="AK328" i="1"/>
  <c r="AK327" i="1"/>
  <c r="AK326" i="1"/>
  <c r="AK325" i="1"/>
  <c r="AK324" i="1"/>
  <c r="AK323" i="1"/>
  <c r="AK322" i="1"/>
  <c r="AK321" i="1"/>
  <c r="AK320" i="1"/>
  <c r="AK319" i="1"/>
  <c r="AK318" i="1"/>
  <c r="AK317" i="1"/>
  <c r="AK316" i="1"/>
  <c r="AK315" i="1"/>
  <c r="AK314" i="1"/>
  <c r="AK313" i="1"/>
  <c r="AK312" i="1"/>
  <c r="AK311" i="1"/>
  <c r="AK310" i="1"/>
  <c r="AK309" i="1"/>
  <c r="AK308" i="1"/>
  <c r="AK307" i="1"/>
  <c r="AK306" i="1"/>
  <c r="AK305" i="1"/>
  <c r="AK304" i="1"/>
  <c r="AK303" i="1"/>
  <c r="AK302" i="1"/>
  <c r="AK301" i="1"/>
  <c r="AK300" i="1"/>
  <c r="AK299" i="1"/>
  <c r="AK298" i="1"/>
  <c r="AK297" i="1"/>
  <c r="AK296" i="1"/>
  <c r="AK295" i="1"/>
  <c r="AK294" i="1"/>
  <c r="AK293" i="1"/>
  <c r="AK292" i="1"/>
  <c r="AK291" i="1"/>
  <c r="AK290" i="1"/>
  <c r="AK289" i="1"/>
  <c r="AK288" i="1"/>
  <c r="AK287" i="1"/>
  <c r="AK286" i="1"/>
  <c r="AK285" i="1"/>
  <c r="AK284" i="1"/>
  <c r="AK283" i="1"/>
  <c r="AK282" i="1"/>
  <c r="AK281" i="1"/>
  <c r="AK280" i="1"/>
  <c r="AK279" i="1"/>
  <c r="AK278" i="1"/>
  <c r="AK277" i="1"/>
  <c r="AK276" i="1"/>
  <c r="AK275" i="1"/>
  <c r="AK274" i="1"/>
  <c r="AK273" i="1"/>
  <c r="AK272" i="1"/>
  <c r="AK271" i="1"/>
  <c r="AK270" i="1"/>
  <c r="AK269" i="1"/>
  <c r="AK268" i="1"/>
  <c r="AK267" i="1"/>
  <c r="AK266" i="1"/>
  <c r="AK265" i="1"/>
  <c r="AK264" i="1"/>
  <c r="AK263" i="1"/>
  <c r="AK262" i="1"/>
  <c r="AK261" i="1"/>
  <c r="AK260" i="1"/>
  <c r="AK259" i="1"/>
  <c r="AK258" i="1"/>
  <c r="AK257" i="1"/>
  <c r="AK256" i="1"/>
  <c r="AK255" i="1"/>
  <c r="AK254" i="1"/>
  <c r="AK253" i="1"/>
  <c r="AK252" i="1"/>
  <c r="AK251" i="1"/>
  <c r="AK250" i="1"/>
  <c r="AK249" i="1"/>
  <c r="AK248" i="1"/>
  <c r="AK247" i="1"/>
  <c r="AK246" i="1"/>
  <c r="AK245" i="1"/>
  <c r="AK244" i="1"/>
  <c r="AK243" i="1"/>
  <c r="AK242" i="1"/>
  <c r="AK241" i="1"/>
  <c r="AK240" i="1"/>
  <c r="AK239" i="1"/>
  <c r="AK238" i="1"/>
  <c r="AK237" i="1"/>
  <c r="AK236" i="1"/>
  <c r="AK235" i="1"/>
  <c r="AK234" i="1"/>
  <c r="AK233" i="1"/>
  <c r="AK232" i="1"/>
  <c r="AK231" i="1"/>
  <c r="AK230" i="1"/>
  <c r="AK229" i="1"/>
  <c r="AK228" i="1"/>
  <c r="AK227" i="1"/>
  <c r="AK226" i="1"/>
  <c r="AK225" i="1"/>
  <c r="AK224" i="1"/>
  <c r="AK223" i="1"/>
  <c r="AK222" i="1"/>
  <c r="AK221" i="1"/>
  <c r="AK220" i="1"/>
  <c r="AK219" i="1"/>
  <c r="AK218" i="1"/>
  <c r="AK217" i="1"/>
  <c r="AK216" i="1"/>
  <c r="AK215" i="1"/>
  <c r="AK214" i="1"/>
  <c r="AK213" i="1"/>
  <c r="AK212" i="1"/>
  <c r="AK211" i="1"/>
  <c r="AK210" i="1"/>
  <c r="AK209" i="1"/>
  <c r="AK208" i="1"/>
  <c r="AK207" i="1"/>
  <c r="AK206" i="1"/>
  <c r="AK205" i="1"/>
  <c r="AK204" i="1"/>
  <c r="AK203" i="1"/>
  <c r="AK202" i="1"/>
  <c r="AK201" i="1"/>
  <c r="AK200" i="1"/>
  <c r="AK199" i="1"/>
  <c r="AK198" i="1"/>
  <c r="AK197" i="1"/>
  <c r="AK196" i="1"/>
  <c r="AK195" i="1"/>
  <c r="AK194" i="1"/>
  <c r="AK193" i="1"/>
  <c r="AK192" i="1"/>
  <c r="AK191" i="1"/>
  <c r="AK190" i="1"/>
  <c r="AK189" i="1"/>
  <c r="AK188" i="1"/>
  <c r="AK187" i="1"/>
  <c r="AK186" i="1"/>
  <c r="AK185" i="1"/>
  <c r="AK184" i="1"/>
  <c r="AK183" i="1"/>
  <c r="AK182" i="1"/>
  <c r="AK181" i="1"/>
  <c r="AK180" i="1"/>
  <c r="AK179" i="1"/>
  <c r="AK178" i="1"/>
  <c r="AK177" i="1"/>
  <c r="AK176" i="1"/>
  <c r="AK175" i="1"/>
  <c r="AK174" i="1"/>
  <c r="AK173" i="1"/>
  <c r="AK172" i="1"/>
  <c r="AK171" i="1"/>
  <c r="AK170" i="1"/>
  <c r="AK169" i="1"/>
  <c r="AK168" i="1"/>
  <c r="AK167" i="1"/>
  <c r="AK166" i="1"/>
  <c r="AK165" i="1"/>
  <c r="AK164" i="1"/>
  <c r="AK163" i="1"/>
  <c r="AK162" i="1"/>
  <c r="AK161" i="1"/>
  <c r="AK160" i="1"/>
  <c r="AK159" i="1"/>
  <c r="AK158" i="1"/>
  <c r="AK157" i="1"/>
  <c r="AK156" i="1"/>
  <c r="AK155" i="1"/>
  <c r="AK154" i="1"/>
  <c r="AK153" i="1"/>
  <c r="AK152" i="1"/>
  <c r="AK151" i="1"/>
  <c r="AK150" i="1"/>
  <c r="AK149" i="1"/>
  <c r="AK148" i="1"/>
  <c r="AK147" i="1"/>
  <c r="AK146" i="1"/>
  <c r="AK145" i="1"/>
  <c r="AK144" i="1"/>
  <c r="AK143" i="1"/>
  <c r="AK142" i="1"/>
  <c r="AK141" i="1"/>
  <c r="AK140" i="1"/>
  <c r="AK139" i="1"/>
  <c r="AK138" i="1"/>
  <c r="AK137" i="1"/>
  <c r="AK136" i="1"/>
  <c r="AK135" i="1"/>
  <c r="AK134" i="1"/>
  <c r="AK133" i="1"/>
  <c r="AK132" i="1"/>
  <c r="AK131" i="1"/>
  <c r="AK130" i="1"/>
  <c r="AK129" i="1"/>
  <c r="AK128" i="1"/>
  <c r="AK127" i="1"/>
  <c r="AK126" i="1"/>
  <c r="AK125" i="1"/>
  <c r="AK124" i="1"/>
  <c r="AK123" i="1"/>
  <c r="AK122" i="1"/>
  <c r="AK121" i="1"/>
  <c r="AK120" i="1"/>
  <c r="AK119" i="1"/>
  <c r="AK118" i="1"/>
  <c r="AK117" i="1"/>
  <c r="AK116" i="1"/>
  <c r="AK115" i="1"/>
  <c r="AK114" i="1"/>
  <c r="AK113" i="1"/>
  <c r="AK112" i="1"/>
  <c r="AK111" i="1"/>
  <c r="AK110" i="1"/>
  <c r="AK109" i="1"/>
  <c r="AK108" i="1"/>
  <c r="AK107" i="1"/>
  <c r="AK106" i="1"/>
  <c r="AK105" i="1"/>
  <c r="AK104" i="1"/>
  <c r="AK103" i="1"/>
  <c r="AK102" i="1"/>
  <c r="AK101" i="1"/>
  <c r="AK100" i="1"/>
  <c r="AK99" i="1"/>
  <c r="AK98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F652" i="1" s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F628" i="1" s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F604" i="1" s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F580" i="1" s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F556" i="1" s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F532" i="1" s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F508" i="1" s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F484" i="1" s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F460" i="1" s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F436" i="1" s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F412" i="1" s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F388" i="1" s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F364" i="1" s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F340" i="1" s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F316" i="1" s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F292" i="1" s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F268" i="1" s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F244" i="1" s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F220" i="1" s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F196" i="1" s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F172" i="1" s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F148" i="1" s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F124" i="1" s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F100" i="1" s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F76" i="1" s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F52" i="1" s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F28" i="1" s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F4" i="1" s="1"/>
  <c r="L677" i="1"/>
  <c r="K676" i="1"/>
  <c r="K675" i="1"/>
  <c r="K674" i="1"/>
  <c r="K673" i="1"/>
  <c r="K672" i="1"/>
  <c r="K671" i="1"/>
  <c r="G671" i="1" s="1"/>
  <c r="K670" i="1"/>
  <c r="K669" i="1"/>
  <c r="K668" i="1"/>
  <c r="K667" i="1"/>
  <c r="K666" i="1"/>
  <c r="K665" i="1"/>
  <c r="K664" i="1"/>
  <c r="K663" i="1"/>
  <c r="K662" i="1"/>
  <c r="K661" i="1"/>
  <c r="K660" i="1"/>
  <c r="K659" i="1"/>
  <c r="G659" i="1" s="1"/>
  <c r="K658" i="1"/>
  <c r="K657" i="1"/>
  <c r="K656" i="1"/>
  <c r="K655" i="1"/>
  <c r="K654" i="1"/>
  <c r="K653" i="1"/>
  <c r="K652" i="1"/>
  <c r="K651" i="1"/>
  <c r="K650" i="1"/>
  <c r="K649" i="1"/>
  <c r="K648" i="1"/>
  <c r="K647" i="1"/>
  <c r="G647" i="1" s="1"/>
  <c r="K646" i="1"/>
  <c r="K645" i="1"/>
  <c r="K644" i="1"/>
  <c r="K643" i="1"/>
  <c r="K642" i="1"/>
  <c r="K641" i="1"/>
  <c r="K640" i="1"/>
  <c r="K639" i="1"/>
  <c r="K638" i="1"/>
  <c r="K637" i="1"/>
  <c r="K636" i="1"/>
  <c r="K635" i="1"/>
  <c r="G635" i="1" s="1"/>
  <c r="K634" i="1"/>
  <c r="K633" i="1"/>
  <c r="K632" i="1"/>
  <c r="K631" i="1"/>
  <c r="K630" i="1"/>
  <c r="K629" i="1"/>
  <c r="K628" i="1"/>
  <c r="K627" i="1"/>
  <c r="K626" i="1"/>
  <c r="K625" i="1"/>
  <c r="K624" i="1"/>
  <c r="K623" i="1"/>
  <c r="G623" i="1" s="1"/>
  <c r="K622" i="1"/>
  <c r="K621" i="1"/>
  <c r="K620" i="1"/>
  <c r="K619" i="1"/>
  <c r="K618" i="1"/>
  <c r="K617" i="1"/>
  <c r="K616" i="1"/>
  <c r="K615" i="1"/>
  <c r="K614" i="1"/>
  <c r="K613" i="1"/>
  <c r="K612" i="1"/>
  <c r="K611" i="1"/>
  <c r="G611" i="1" s="1"/>
  <c r="K610" i="1"/>
  <c r="K609" i="1"/>
  <c r="K608" i="1"/>
  <c r="K607" i="1"/>
  <c r="K606" i="1"/>
  <c r="K605" i="1"/>
  <c r="K604" i="1"/>
  <c r="K603" i="1"/>
  <c r="K602" i="1"/>
  <c r="K601" i="1"/>
  <c r="K600" i="1"/>
  <c r="K599" i="1"/>
  <c r="G599" i="1" s="1"/>
  <c r="K598" i="1"/>
  <c r="K597" i="1"/>
  <c r="K596" i="1"/>
  <c r="K595" i="1"/>
  <c r="K594" i="1"/>
  <c r="K593" i="1"/>
  <c r="K592" i="1"/>
  <c r="K591" i="1"/>
  <c r="K590" i="1"/>
  <c r="K589" i="1"/>
  <c r="K588" i="1"/>
  <c r="K587" i="1"/>
  <c r="G587" i="1" s="1"/>
  <c r="K586" i="1"/>
  <c r="K585" i="1"/>
  <c r="K584" i="1"/>
  <c r="K583" i="1"/>
  <c r="K582" i="1"/>
  <c r="K581" i="1"/>
  <c r="K580" i="1"/>
  <c r="K579" i="1"/>
  <c r="K578" i="1"/>
  <c r="K577" i="1"/>
  <c r="K576" i="1"/>
  <c r="K575" i="1"/>
  <c r="G575" i="1" s="1"/>
  <c r="K574" i="1"/>
  <c r="K573" i="1"/>
  <c r="K572" i="1"/>
  <c r="K571" i="1"/>
  <c r="K570" i="1"/>
  <c r="K569" i="1"/>
  <c r="K568" i="1"/>
  <c r="K567" i="1"/>
  <c r="K566" i="1"/>
  <c r="K565" i="1"/>
  <c r="K564" i="1"/>
  <c r="K563" i="1"/>
  <c r="G563" i="1" s="1"/>
  <c r="K562" i="1"/>
  <c r="K561" i="1"/>
  <c r="K560" i="1"/>
  <c r="K559" i="1"/>
  <c r="K558" i="1"/>
  <c r="K557" i="1"/>
  <c r="K556" i="1"/>
  <c r="K555" i="1"/>
  <c r="K554" i="1"/>
  <c r="K553" i="1"/>
  <c r="K552" i="1"/>
  <c r="K551" i="1"/>
  <c r="G551" i="1" s="1"/>
  <c r="K550" i="1"/>
  <c r="K549" i="1"/>
  <c r="K548" i="1"/>
  <c r="K547" i="1"/>
  <c r="K546" i="1"/>
  <c r="K545" i="1"/>
  <c r="K544" i="1"/>
  <c r="K543" i="1"/>
  <c r="K542" i="1"/>
  <c r="K541" i="1"/>
  <c r="K540" i="1"/>
  <c r="K539" i="1"/>
  <c r="G539" i="1" s="1"/>
  <c r="K538" i="1"/>
  <c r="K537" i="1"/>
  <c r="K536" i="1"/>
  <c r="K535" i="1"/>
  <c r="K534" i="1"/>
  <c r="K533" i="1"/>
  <c r="K532" i="1"/>
  <c r="K531" i="1"/>
  <c r="K530" i="1"/>
  <c r="K529" i="1"/>
  <c r="K528" i="1"/>
  <c r="K527" i="1"/>
  <c r="G527" i="1" s="1"/>
  <c r="K526" i="1"/>
  <c r="K525" i="1"/>
  <c r="K524" i="1"/>
  <c r="K523" i="1"/>
  <c r="K522" i="1"/>
  <c r="K521" i="1"/>
  <c r="K520" i="1"/>
  <c r="K519" i="1"/>
  <c r="K518" i="1"/>
  <c r="K517" i="1"/>
  <c r="K516" i="1"/>
  <c r="K515" i="1"/>
  <c r="G515" i="1" s="1"/>
  <c r="K514" i="1"/>
  <c r="K513" i="1"/>
  <c r="K512" i="1"/>
  <c r="K511" i="1"/>
  <c r="K510" i="1"/>
  <c r="K509" i="1"/>
  <c r="K508" i="1"/>
  <c r="K507" i="1"/>
  <c r="K506" i="1"/>
  <c r="K505" i="1"/>
  <c r="K504" i="1"/>
  <c r="K503" i="1"/>
  <c r="G503" i="1" s="1"/>
  <c r="K502" i="1"/>
  <c r="K501" i="1"/>
  <c r="K500" i="1"/>
  <c r="K499" i="1"/>
  <c r="K498" i="1"/>
  <c r="K497" i="1"/>
  <c r="K496" i="1"/>
  <c r="K495" i="1"/>
  <c r="K494" i="1"/>
  <c r="K493" i="1"/>
  <c r="K492" i="1"/>
  <c r="K491" i="1"/>
  <c r="G491" i="1" s="1"/>
  <c r="K490" i="1"/>
  <c r="K489" i="1"/>
  <c r="K488" i="1"/>
  <c r="K487" i="1"/>
  <c r="K486" i="1"/>
  <c r="K485" i="1"/>
  <c r="K484" i="1"/>
  <c r="K483" i="1"/>
  <c r="K482" i="1"/>
  <c r="K481" i="1"/>
  <c r="K480" i="1"/>
  <c r="K479" i="1"/>
  <c r="G479" i="1" s="1"/>
  <c r="K478" i="1"/>
  <c r="K477" i="1"/>
  <c r="K476" i="1"/>
  <c r="K475" i="1"/>
  <c r="K474" i="1"/>
  <c r="K473" i="1"/>
  <c r="K472" i="1"/>
  <c r="K471" i="1"/>
  <c r="K470" i="1"/>
  <c r="K469" i="1"/>
  <c r="K468" i="1"/>
  <c r="K467" i="1"/>
  <c r="G467" i="1" s="1"/>
  <c r="K466" i="1"/>
  <c r="K465" i="1"/>
  <c r="K464" i="1"/>
  <c r="K463" i="1"/>
  <c r="K462" i="1"/>
  <c r="K461" i="1"/>
  <c r="K460" i="1"/>
  <c r="K459" i="1"/>
  <c r="K458" i="1"/>
  <c r="K457" i="1"/>
  <c r="K456" i="1"/>
  <c r="K455" i="1"/>
  <c r="G455" i="1" s="1"/>
  <c r="K454" i="1"/>
  <c r="K453" i="1"/>
  <c r="K452" i="1"/>
  <c r="K451" i="1"/>
  <c r="K450" i="1"/>
  <c r="K449" i="1"/>
  <c r="K448" i="1"/>
  <c r="K447" i="1"/>
  <c r="K446" i="1"/>
  <c r="K445" i="1"/>
  <c r="K444" i="1"/>
  <c r="K443" i="1"/>
  <c r="G443" i="1" s="1"/>
  <c r="K442" i="1"/>
  <c r="K441" i="1"/>
  <c r="K440" i="1"/>
  <c r="K439" i="1"/>
  <c r="K438" i="1"/>
  <c r="K437" i="1"/>
  <c r="K436" i="1"/>
  <c r="K435" i="1"/>
  <c r="K434" i="1"/>
  <c r="K433" i="1"/>
  <c r="K432" i="1"/>
  <c r="K431" i="1"/>
  <c r="G431" i="1" s="1"/>
  <c r="K430" i="1"/>
  <c r="K429" i="1"/>
  <c r="K428" i="1"/>
  <c r="K427" i="1"/>
  <c r="K426" i="1"/>
  <c r="K425" i="1"/>
  <c r="K424" i="1"/>
  <c r="K423" i="1"/>
  <c r="K422" i="1"/>
  <c r="K421" i="1"/>
  <c r="K420" i="1"/>
  <c r="K419" i="1"/>
  <c r="G419" i="1" s="1"/>
  <c r="K418" i="1"/>
  <c r="K417" i="1"/>
  <c r="K416" i="1"/>
  <c r="K415" i="1"/>
  <c r="K414" i="1"/>
  <c r="K413" i="1"/>
  <c r="K412" i="1"/>
  <c r="K411" i="1"/>
  <c r="K410" i="1"/>
  <c r="K409" i="1"/>
  <c r="K408" i="1"/>
  <c r="K407" i="1"/>
  <c r="G407" i="1" s="1"/>
  <c r="K406" i="1"/>
  <c r="K405" i="1"/>
  <c r="K404" i="1"/>
  <c r="K403" i="1"/>
  <c r="K402" i="1"/>
  <c r="K401" i="1"/>
  <c r="K400" i="1"/>
  <c r="K399" i="1"/>
  <c r="K398" i="1"/>
  <c r="K397" i="1"/>
  <c r="K396" i="1"/>
  <c r="K395" i="1"/>
  <c r="G395" i="1" s="1"/>
  <c r="K394" i="1"/>
  <c r="K393" i="1"/>
  <c r="K392" i="1"/>
  <c r="K391" i="1"/>
  <c r="K390" i="1"/>
  <c r="K389" i="1"/>
  <c r="K388" i="1"/>
  <c r="K387" i="1"/>
  <c r="K386" i="1"/>
  <c r="K385" i="1"/>
  <c r="K384" i="1"/>
  <c r="K383" i="1"/>
  <c r="G383" i="1" s="1"/>
  <c r="K382" i="1"/>
  <c r="K381" i="1"/>
  <c r="K380" i="1"/>
  <c r="K379" i="1"/>
  <c r="K378" i="1"/>
  <c r="K377" i="1"/>
  <c r="K376" i="1"/>
  <c r="K375" i="1"/>
  <c r="K374" i="1"/>
  <c r="K373" i="1"/>
  <c r="K372" i="1"/>
  <c r="K371" i="1"/>
  <c r="G371" i="1" s="1"/>
  <c r="K370" i="1"/>
  <c r="K369" i="1"/>
  <c r="K368" i="1"/>
  <c r="K367" i="1"/>
  <c r="K366" i="1"/>
  <c r="K365" i="1"/>
  <c r="K364" i="1"/>
  <c r="K363" i="1"/>
  <c r="K362" i="1"/>
  <c r="K361" i="1"/>
  <c r="K360" i="1"/>
  <c r="K359" i="1"/>
  <c r="G359" i="1" s="1"/>
  <c r="K358" i="1"/>
  <c r="K357" i="1"/>
  <c r="K356" i="1"/>
  <c r="K355" i="1"/>
  <c r="K354" i="1"/>
  <c r="K353" i="1"/>
  <c r="K352" i="1"/>
  <c r="K351" i="1"/>
  <c r="K350" i="1"/>
  <c r="K349" i="1"/>
  <c r="K348" i="1"/>
  <c r="K347" i="1"/>
  <c r="G347" i="1" s="1"/>
  <c r="K346" i="1"/>
  <c r="K345" i="1"/>
  <c r="K344" i="1"/>
  <c r="K343" i="1"/>
  <c r="K342" i="1"/>
  <c r="K341" i="1"/>
  <c r="K340" i="1"/>
  <c r="K339" i="1"/>
  <c r="K338" i="1"/>
  <c r="K337" i="1"/>
  <c r="K336" i="1"/>
  <c r="K335" i="1"/>
  <c r="G335" i="1" s="1"/>
  <c r="K334" i="1"/>
  <c r="K333" i="1"/>
  <c r="K332" i="1"/>
  <c r="K331" i="1"/>
  <c r="K330" i="1"/>
  <c r="K329" i="1"/>
  <c r="K328" i="1"/>
  <c r="K327" i="1"/>
  <c r="K326" i="1"/>
  <c r="K325" i="1"/>
  <c r="K324" i="1"/>
  <c r="K323" i="1"/>
  <c r="G323" i="1" s="1"/>
  <c r="K322" i="1"/>
  <c r="K321" i="1"/>
  <c r="K320" i="1"/>
  <c r="K319" i="1"/>
  <c r="K318" i="1"/>
  <c r="K317" i="1"/>
  <c r="K316" i="1"/>
  <c r="K315" i="1"/>
  <c r="K314" i="1"/>
  <c r="K313" i="1"/>
  <c r="K312" i="1"/>
  <c r="K311" i="1"/>
  <c r="G311" i="1" s="1"/>
  <c r="K310" i="1"/>
  <c r="K309" i="1"/>
  <c r="K308" i="1"/>
  <c r="K307" i="1"/>
  <c r="K306" i="1"/>
  <c r="K305" i="1"/>
  <c r="K304" i="1"/>
  <c r="K303" i="1"/>
  <c r="K302" i="1"/>
  <c r="K298" i="1"/>
  <c r="K297" i="1"/>
  <c r="K296" i="1"/>
  <c r="G296" i="1" s="1"/>
  <c r="K295" i="1"/>
  <c r="K294" i="1"/>
  <c r="K293" i="1"/>
  <c r="K292" i="1"/>
  <c r="K291" i="1"/>
  <c r="K290" i="1"/>
  <c r="K289" i="1"/>
  <c r="K288" i="1"/>
  <c r="K287" i="1"/>
  <c r="K286" i="1"/>
  <c r="K285" i="1"/>
  <c r="K284" i="1"/>
  <c r="G284" i="1" s="1"/>
  <c r="K283" i="1"/>
  <c r="K282" i="1"/>
  <c r="K281" i="1"/>
  <c r="K280" i="1"/>
  <c r="K279" i="1"/>
  <c r="K278" i="1"/>
  <c r="K277" i="1"/>
  <c r="K276" i="1"/>
  <c r="K275" i="1"/>
  <c r="K274" i="1"/>
  <c r="K273" i="1"/>
  <c r="K272" i="1"/>
  <c r="G272" i="1" s="1"/>
  <c r="K271" i="1"/>
  <c r="K270" i="1"/>
  <c r="K269" i="1"/>
  <c r="K268" i="1"/>
  <c r="K267" i="1"/>
  <c r="K266" i="1"/>
  <c r="K265" i="1"/>
  <c r="K264" i="1"/>
  <c r="K263" i="1"/>
  <c r="K262" i="1"/>
  <c r="K261" i="1"/>
  <c r="K260" i="1"/>
  <c r="G260" i="1" s="1"/>
  <c r="K259" i="1"/>
  <c r="K258" i="1"/>
  <c r="K257" i="1"/>
  <c r="K256" i="1"/>
  <c r="K255" i="1"/>
  <c r="K254" i="1"/>
  <c r="K253" i="1"/>
  <c r="K252" i="1"/>
  <c r="K251" i="1"/>
  <c r="K250" i="1"/>
  <c r="K249" i="1"/>
  <c r="K248" i="1"/>
  <c r="G248" i="1" s="1"/>
  <c r="K247" i="1"/>
  <c r="K246" i="1"/>
  <c r="K245" i="1"/>
  <c r="K244" i="1"/>
  <c r="K243" i="1"/>
  <c r="K242" i="1"/>
  <c r="K241" i="1"/>
  <c r="K240" i="1"/>
  <c r="K239" i="1"/>
  <c r="K238" i="1"/>
  <c r="K237" i="1"/>
  <c r="K236" i="1"/>
  <c r="G236" i="1" s="1"/>
  <c r="K235" i="1"/>
  <c r="K234" i="1"/>
  <c r="K233" i="1"/>
  <c r="K232" i="1"/>
  <c r="K231" i="1"/>
  <c r="K230" i="1"/>
  <c r="K229" i="1"/>
  <c r="K228" i="1"/>
  <c r="K227" i="1"/>
  <c r="K226" i="1"/>
  <c r="K225" i="1"/>
  <c r="K224" i="1"/>
  <c r="G224" i="1" s="1"/>
  <c r="K223" i="1"/>
  <c r="K222" i="1"/>
  <c r="K221" i="1"/>
  <c r="K220" i="1"/>
  <c r="K219" i="1"/>
  <c r="K218" i="1"/>
  <c r="K217" i="1"/>
  <c r="K216" i="1"/>
  <c r="K215" i="1"/>
  <c r="K214" i="1"/>
  <c r="K213" i="1"/>
  <c r="K212" i="1"/>
  <c r="G212" i="1" s="1"/>
  <c r="K211" i="1"/>
  <c r="K210" i="1"/>
  <c r="K209" i="1"/>
  <c r="K208" i="1"/>
  <c r="K207" i="1"/>
  <c r="K206" i="1"/>
  <c r="K205" i="1"/>
  <c r="K204" i="1"/>
  <c r="K203" i="1"/>
  <c r="K202" i="1"/>
  <c r="K201" i="1"/>
  <c r="K200" i="1"/>
  <c r="G200" i="1" s="1"/>
  <c r="K199" i="1"/>
  <c r="K198" i="1"/>
  <c r="K197" i="1"/>
  <c r="K196" i="1"/>
  <c r="K195" i="1"/>
  <c r="K194" i="1"/>
  <c r="K193" i="1"/>
  <c r="K192" i="1"/>
  <c r="K191" i="1"/>
  <c r="K190" i="1"/>
  <c r="K189" i="1"/>
  <c r="K188" i="1"/>
  <c r="G188" i="1" s="1"/>
  <c r="K187" i="1"/>
  <c r="K186" i="1"/>
  <c r="K185" i="1"/>
  <c r="K184" i="1"/>
  <c r="K183" i="1"/>
  <c r="K182" i="1"/>
  <c r="K181" i="1"/>
  <c r="K180" i="1"/>
  <c r="K179" i="1"/>
  <c r="K178" i="1"/>
  <c r="K177" i="1"/>
  <c r="K176" i="1"/>
  <c r="G176" i="1" s="1"/>
  <c r="K175" i="1"/>
  <c r="K174" i="1"/>
  <c r="K173" i="1"/>
  <c r="K172" i="1"/>
  <c r="K171" i="1"/>
  <c r="K170" i="1"/>
  <c r="K169" i="1"/>
  <c r="K168" i="1"/>
  <c r="K167" i="1"/>
  <c r="K166" i="1"/>
  <c r="K165" i="1"/>
  <c r="K164" i="1"/>
  <c r="G164" i="1" s="1"/>
  <c r="K163" i="1"/>
  <c r="K162" i="1"/>
  <c r="K161" i="1"/>
  <c r="K160" i="1"/>
  <c r="K159" i="1"/>
  <c r="K158" i="1"/>
  <c r="K157" i="1"/>
  <c r="K156" i="1"/>
  <c r="K155" i="1"/>
  <c r="K154" i="1"/>
  <c r="K153" i="1"/>
  <c r="K152" i="1"/>
  <c r="G152" i="1" s="1"/>
  <c r="K151" i="1"/>
  <c r="K150" i="1"/>
  <c r="K149" i="1"/>
  <c r="K148" i="1"/>
  <c r="K147" i="1"/>
  <c r="K146" i="1"/>
  <c r="K145" i="1"/>
  <c r="K144" i="1"/>
  <c r="K143" i="1"/>
  <c r="K142" i="1"/>
  <c r="K141" i="1"/>
  <c r="K140" i="1"/>
  <c r="G140" i="1" s="1"/>
  <c r="K139" i="1"/>
  <c r="K138" i="1"/>
  <c r="K137" i="1"/>
  <c r="K136" i="1"/>
  <c r="K135" i="1"/>
  <c r="K134" i="1"/>
  <c r="K133" i="1"/>
  <c r="K132" i="1"/>
  <c r="K131" i="1"/>
  <c r="K130" i="1"/>
  <c r="K129" i="1"/>
  <c r="K128" i="1"/>
  <c r="G128" i="1" s="1"/>
  <c r="K127" i="1"/>
  <c r="K126" i="1"/>
  <c r="K125" i="1"/>
  <c r="K124" i="1"/>
  <c r="K123" i="1"/>
  <c r="K122" i="1"/>
  <c r="K121" i="1"/>
  <c r="K120" i="1"/>
  <c r="K119" i="1"/>
  <c r="K118" i="1"/>
  <c r="K117" i="1"/>
  <c r="K116" i="1"/>
  <c r="G116" i="1" s="1"/>
  <c r="K115" i="1"/>
  <c r="K114" i="1"/>
  <c r="K113" i="1"/>
  <c r="K112" i="1"/>
  <c r="K111" i="1"/>
  <c r="K110" i="1"/>
  <c r="K109" i="1"/>
  <c r="K108" i="1"/>
  <c r="K107" i="1"/>
  <c r="K106" i="1"/>
  <c r="K105" i="1"/>
  <c r="K104" i="1"/>
  <c r="G104" i="1" s="1"/>
  <c r="K103" i="1"/>
  <c r="K102" i="1"/>
  <c r="K101" i="1"/>
  <c r="K100" i="1"/>
  <c r="K99" i="1"/>
  <c r="K98" i="1"/>
  <c r="K97" i="1"/>
  <c r="K96" i="1"/>
  <c r="K95" i="1"/>
  <c r="K94" i="1"/>
  <c r="K93" i="1"/>
  <c r="K92" i="1"/>
  <c r="G92" i="1" s="1"/>
  <c r="K91" i="1"/>
  <c r="K90" i="1"/>
  <c r="K89" i="1"/>
  <c r="K88" i="1"/>
  <c r="K87" i="1"/>
  <c r="K86" i="1"/>
  <c r="K85" i="1"/>
  <c r="K84" i="1"/>
  <c r="K83" i="1"/>
  <c r="K82" i="1"/>
  <c r="K81" i="1"/>
  <c r="K80" i="1"/>
  <c r="G80" i="1" s="1"/>
  <c r="K79" i="1"/>
  <c r="K78" i="1"/>
  <c r="K77" i="1"/>
  <c r="K76" i="1"/>
  <c r="K75" i="1"/>
  <c r="K74" i="1"/>
  <c r="K73" i="1"/>
  <c r="K72" i="1"/>
  <c r="K71" i="1"/>
  <c r="K70" i="1"/>
  <c r="K69" i="1"/>
  <c r="K68" i="1"/>
  <c r="G68" i="1" s="1"/>
  <c r="K67" i="1"/>
  <c r="K66" i="1"/>
  <c r="K65" i="1"/>
  <c r="K64" i="1"/>
  <c r="K63" i="1"/>
  <c r="K62" i="1"/>
  <c r="K61" i="1"/>
  <c r="K60" i="1"/>
  <c r="K59" i="1"/>
  <c r="K58" i="1"/>
  <c r="K57" i="1"/>
  <c r="K56" i="1"/>
  <c r="G56" i="1" s="1"/>
  <c r="K55" i="1"/>
  <c r="K54" i="1"/>
  <c r="K53" i="1"/>
  <c r="K52" i="1"/>
  <c r="K51" i="1"/>
  <c r="K50" i="1"/>
  <c r="K49" i="1"/>
  <c r="K48" i="1"/>
  <c r="K47" i="1"/>
  <c r="K46" i="1"/>
  <c r="K45" i="1"/>
  <c r="K44" i="1"/>
  <c r="G44" i="1" s="1"/>
  <c r="K43" i="1"/>
  <c r="K42" i="1"/>
  <c r="K41" i="1"/>
  <c r="K40" i="1"/>
  <c r="K39" i="1"/>
  <c r="K38" i="1"/>
  <c r="K37" i="1"/>
  <c r="K36" i="1"/>
  <c r="K35" i="1"/>
  <c r="K34" i="1"/>
  <c r="K33" i="1"/>
  <c r="K32" i="1"/>
  <c r="G32" i="1" s="1"/>
  <c r="K31" i="1"/>
  <c r="K30" i="1"/>
  <c r="K29" i="1"/>
  <c r="K28" i="1"/>
  <c r="K27" i="1"/>
  <c r="K26" i="1"/>
  <c r="K25" i="1"/>
  <c r="K24" i="1"/>
  <c r="K23" i="1"/>
  <c r="K22" i="1"/>
  <c r="K21" i="1"/>
  <c r="K20" i="1"/>
  <c r="G20" i="1" s="1"/>
  <c r="K19" i="1"/>
  <c r="K18" i="1"/>
  <c r="K17" i="1"/>
  <c r="K16" i="1"/>
  <c r="K15" i="1"/>
  <c r="K14" i="1"/>
  <c r="K13" i="1"/>
  <c r="K12" i="1"/>
  <c r="K11" i="1"/>
  <c r="K10" i="1"/>
  <c r="K9" i="1"/>
  <c r="K8" i="1"/>
  <c r="G8" i="1" s="1"/>
  <c r="K7" i="1"/>
  <c r="K6" i="1"/>
  <c r="K5" i="1"/>
  <c r="K4" i="1"/>
  <c r="I677" i="1"/>
  <c r="AD676" i="1"/>
  <c r="AD675" i="1"/>
  <c r="AD674" i="1"/>
  <c r="AD673" i="1"/>
  <c r="AD672" i="1"/>
  <c r="AD671" i="1"/>
  <c r="AD670" i="1"/>
  <c r="AD669" i="1"/>
  <c r="AD668" i="1"/>
  <c r="AD667" i="1"/>
  <c r="AD666" i="1"/>
  <c r="AD665" i="1"/>
  <c r="AD664" i="1"/>
  <c r="AD663" i="1"/>
  <c r="AD662" i="1"/>
  <c r="AD661" i="1"/>
  <c r="AD660" i="1"/>
  <c r="AD659" i="1"/>
  <c r="AD658" i="1"/>
  <c r="AD657" i="1"/>
  <c r="AD656" i="1"/>
  <c r="AD655" i="1"/>
  <c r="AD654" i="1"/>
  <c r="AD653" i="1"/>
  <c r="AD652" i="1"/>
  <c r="AD651" i="1"/>
  <c r="AD650" i="1"/>
  <c r="AD649" i="1"/>
  <c r="AD648" i="1"/>
  <c r="AD647" i="1"/>
  <c r="AD646" i="1"/>
  <c r="AD645" i="1"/>
  <c r="AD644" i="1"/>
  <c r="AD643" i="1"/>
  <c r="AD642" i="1"/>
  <c r="AD641" i="1"/>
  <c r="AD640" i="1"/>
  <c r="AD639" i="1"/>
  <c r="AD638" i="1"/>
  <c r="AD637" i="1"/>
  <c r="AD636" i="1"/>
  <c r="AD635" i="1"/>
  <c r="AD634" i="1"/>
  <c r="AD633" i="1"/>
  <c r="AD632" i="1"/>
  <c r="AD631" i="1"/>
  <c r="AD630" i="1"/>
  <c r="AD629" i="1"/>
  <c r="AD628" i="1"/>
  <c r="AD627" i="1"/>
  <c r="AD626" i="1"/>
  <c r="AD625" i="1"/>
  <c r="AD624" i="1"/>
  <c r="AD623" i="1"/>
  <c r="AD622" i="1"/>
  <c r="AD621" i="1"/>
  <c r="AD620" i="1"/>
  <c r="AD619" i="1"/>
  <c r="AD618" i="1"/>
  <c r="AD617" i="1"/>
  <c r="AD616" i="1"/>
  <c r="AD615" i="1"/>
  <c r="AD614" i="1"/>
  <c r="AD613" i="1"/>
  <c r="AD612" i="1"/>
  <c r="AD611" i="1"/>
  <c r="AD610" i="1"/>
  <c r="AD609" i="1"/>
  <c r="AD608" i="1"/>
  <c r="AD607" i="1"/>
  <c r="AD606" i="1"/>
  <c r="AD605" i="1"/>
  <c r="AD604" i="1"/>
  <c r="AD603" i="1"/>
  <c r="AD602" i="1"/>
  <c r="AD601" i="1"/>
  <c r="AD600" i="1"/>
  <c r="AD599" i="1"/>
  <c r="AD598" i="1"/>
  <c r="AD597" i="1"/>
  <c r="AD596" i="1"/>
  <c r="AD595" i="1"/>
  <c r="AD594" i="1"/>
  <c r="AD593" i="1"/>
  <c r="AD592" i="1"/>
  <c r="AD591" i="1"/>
  <c r="AD590" i="1"/>
  <c r="AD589" i="1"/>
  <c r="AD588" i="1"/>
  <c r="AD587" i="1"/>
  <c r="AD586" i="1"/>
  <c r="AD585" i="1"/>
  <c r="AD584" i="1"/>
  <c r="AD583" i="1"/>
  <c r="AD582" i="1"/>
  <c r="AD581" i="1"/>
  <c r="AD580" i="1"/>
  <c r="AD579" i="1"/>
  <c r="AD578" i="1"/>
  <c r="AD577" i="1"/>
  <c r="AD576" i="1"/>
  <c r="AD575" i="1"/>
  <c r="AD574" i="1"/>
  <c r="AD573" i="1"/>
  <c r="AD572" i="1"/>
  <c r="AD571" i="1"/>
  <c r="AD570" i="1"/>
  <c r="AD569" i="1"/>
  <c r="AD568" i="1"/>
  <c r="AD567" i="1"/>
  <c r="AD566" i="1"/>
  <c r="AD565" i="1"/>
  <c r="AD564" i="1"/>
  <c r="AD563" i="1"/>
  <c r="AD562" i="1"/>
  <c r="AD561" i="1"/>
  <c r="AD560" i="1"/>
  <c r="AD559" i="1"/>
  <c r="AD558" i="1"/>
  <c r="AD557" i="1"/>
  <c r="AD556" i="1"/>
  <c r="AD555" i="1"/>
  <c r="AD554" i="1"/>
  <c r="AD553" i="1"/>
  <c r="AD552" i="1"/>
  <c r="AD551" i="1"/>
  <c r="AD550" i="1"/>
  <c r="AD549" i="1"/>
  <c r="AD548" i="1"/>
  <c r="AD547" i="1"/>
  <c r="AD546" i="1"/>
  <c r="AD545" i="1"/>
  <c r="AD544" i="1"/>
  <c r="AD543" i="1"/>
  <c r="AD542" i="1"/>
  <c r="AD541" i="1"/>
  <c r="AD540" i="1"/>
  <c r="AD539" i="1"/>
  <c r="AD538" i="1"/>
  <c r="AD537" i="1"/>
  <c r="AD536" i="1"/>
  <c r="AD535" i="1"/>
  <c r="AD534" i="1"/>
  <c r="AD533" i="1"/>
  <c r="AD532" i="1"/>
  <c r="AD531" i="1"/>
  <c r="AD530" i="1"/>
  <c r="AD529" i="1"/>
  <c r="AD528" i="1"/>
  <c r="AD527" i="1"/>
  <c r="AD526" i="1"/>
  <c r="AD525" i="1"/>
  <c r="AD524" i="1"/>
  <c r="AD523" i="1"/>
  <c r="AD522" i="1"/>
  <c r="AD521" i="1"/>
  <c r="AD520" i="1"/>
  <c r="AD519" i="1"/>
  <c r="AD518" i="1"/>
  <c r="AD517" i="1"/>
  <c r="AD516" i="1"/>
  <c r="AD515" i="1"/>
  <c r="AD514" i="1"/>
  <c r="AD513" i="1"/>
  <c r="AD512" i="1"/>
  <c r="AD511" i="1"/>
  <c r="AD510" i="1"/>
  <c r="AD509" i="1"/>
  <c r="AD508" i="1"/>
  <c r="AD507" i="1"/>
  <c r="AD506" i="1"/>
  <c r="AD505" i="1"/>
  <c r="AD504" i="1"/>
  <c r="AD503" i="1"/>
  <c r="AD502" i="1"/>
  <c r="AD501" i="1"/>
  <c r="AD500" i="1"/>
  <c r="AD499" i="1"/>
  <c r="AD498" i="1"/>
  <c r="AD497" i="1"/>
  <c r="AD496" i="1"/>
  <c r="AD495" i="1"/>
  <c r="AD494" i="1"/>
  <c r="AD493" i="1"/>
  <c r="AD492" i="1"/>
  <c r="AD491" i="1"/>
  <c r="AD490" i="1"/>
  <c r="AD489" i="1"/>
  <c r="AD488" i="1"/>
  <c r="AD487" i="1"/>
  <c r="AD486" i="1"/>
  <c r="AD485" i="1"/>
  <c r="AD484" i="1"/>
  <c r="AD483" i="1"/>
  <c r="AD482" i="1"/>
  <c r="AD481" i="1"/>
  <c r="AD480" i="1"/>
  <c r="AD479" i="1"/>
  <c r="AD478" i="1"/>
  <c r="AD477" i="1"/>
  <c r="AD476" i="1"/>
  <c r="AD475" i="1"/>
  <c r="AD474" i="1"/>
  <c r="AD473" i="1"/>
  <c r="AD472" i="1"/>
  <c r="AD471" i="1"/>
  <c r="AD470" i="1"/>
  <c r="AD469" i="1"/>
  <c r="AD468" i="1"/>
  <c r="AD467" i="1"/>
  <c r="AD466" i="1"/>
  <c r="AD465" i="1"/>
  <c r="AD464" i="1"/>
  <c r="AD463" i="1"/>
  <c r="AD462" i="1"/>
  <c r="AD461" i="1"/>
  <c r="AD460" i="1"/>
  <c r="AD459" i="1"/>
  <c r="AD458" i="1"/>
  <c r="AD457" i="1"/>
  <c r="AD456" i="1"/>
  <c r="AD455" i="1"/>
  <c r="AD454" i="1"/>
  <c r="AD453" i="1"/>
  <c r="AD452" i="1"/>
  <c r="AD451" i="1"/>
  <c r="AD450" i="1"/>
  <c r="AD449" i="1"/>
  <c r="AD448" i="1"/>
  <c r="AD447" i="1"/>
  <c r="AD446" i="1"/>
  <c r="AD445" i="1"/>
  <c r="AD444" i="1"/>
  <c r="AD443" i="1"/>
  <c r="AD442" i="1"/>
  <c r="AD441" i="1"/>
  <c r="AD440" i="1"/>
  <c r="AD439" i="1"/>
  <c r="AD438" i="1"/>
  <c r="AD437" i="1"/>
  <c r="AD436" i="1"/>
  <c r="AD435" i="1"/>
  <c r="AD434" i="1"/>
  <c r="AD433" i="1"/>
  <c r="AD432" i="1"/>
  <c r="AD431" i="1"/>
  <c r="AD430" i="1"/>
  <c r="AD429" i="1"/>
  <c r="AD428" i="1"/>
  <c r="AD427" i="1"/>
  <c r="AD426" i="1"/>
  <c r="AD425" i="1"/>
  <c r="AD424" i="1"/>
  <c r="AD423" i="1"/>
  <c r="AD422" i="1"/>
  <c r="AD421" i="1"/>
  <c r="AD420" i="1"/>
  <c r="AD419" i="1"/>
  <c r="AD418" i="1"/>
  <c r="AD417" i="1"/>
  <c r="AD416" i="1"/>
  <c r="AD415" i="1"/>
  <c r="AD414" i="1"/>
  <c r="AD413" i="1"/>
  <c r="AD412" i="1"/>
  <c r="AD411" i="1"/>
  <c r="AD410" i="1"/>
  <c r="AD409" i="1"/>
  <c r="AD408" i="1"/>
  <c r="AD407" i="1"/>
  <c r="AD406" i="1"/>
  <c r="AD405" i="1"/>
  <c r="AD404" i="1"/>
  <c r="AD403" i="1"/>
  <c r="AD402" i="1"/>
  <c r="AD401" i="1"/>
  <c r="AD400" i="1"/>
  <c r="AD399" i="1"/>
  <c r="AD398" i="1"/>
  <c r="AD397" i="1"/>
  <c r="AD396" i="1"/>
  <c r="AD395" i="1"/>
  <c r="AD394" i="1"/>
  <c r="AD393" i="1"/>
  <c r="AD392" i="1"/>
  <c r="AD391" i="1"/>
  <c r="AD390" i="1"/>
  <c r="AD389" i="1"/>
  <c r="AD388" i="1"/>
  <c r="AD387" i="1"/>
  <c r="AD386" i="1"/>
  <c r="AD385" i="1"/>
  <c r="AD384" i="1"/>
  <c r="AD383" i="1"/>
  <c r="AD382" i="1"/>
  <c r="AD381" i="1"/>
  <c r="AD380" i="1"/>
  <c r="AD379" i="1"/>
  <c r="AD378" i="1"/>
  <c r="AD377" i="1"/>
  <c r="AD376" i="1"/>
  <c r="AD375" i="1"/>
  <c r="AD374" i="1"/>
  <c r="AD373" i="1"/>
  <c r="AD372" i="1"/>
  <c r="AD371" i="1"/>
  <c r="AD370" i="1"/>
  <c r="AD369" i="1"/>
  <c r="AD368" i="1"/>
  <c r="AD367" i="1"/>
  <c r="AD366" i="1"/>
  <c r="AD365" i="1"/>
  <c r="AD364" i="1"/>
  <c r="AD363" i="1"/>
  <c r="AD362" i="1"/>
  <c r="AD361" i="1"/>
  <c r="AD360" i="1"/>
  <c r="AD359" i="1"/>
  <c r="AD358" i="1"/>
  <c r="AD357" i="1"/>
  <c r="AD356" i="1"/>
  <c r="AD355" i="1"/>
  <c r="AD354" i="1"/>
  <c r="AD353" i="1"/>
  <c r="AD352" i="1"/>
  <c r="AD351" i="1"/>
  <c r="AD350" i="1"/>
  <c r="AD349" i="1"/>
  <c r="AD348" i="1"/>
  <c r="AD347" i="1"/>
  <c r="AD346" i="1"/>
  <c r="AD345" i="1"/>
  <c r="AD344" i="1"/>
  <c r="AD343" i="1"/>
  <c r="AD342" i="1"/>
  <c r="AD341" i="1"/>
  <c r="AD340" i="1"/>
  <c r="AD339" i="1"/>
  <c r="AD338" i="1"/>
  <c r="AD337" i="1"/>
  <c r="AD336" i="1"/>
  <c r="AD335" i="1"/>
  <c r="AD334" i="1"/>
  <c r="AD333" i="1"/>
  <c r="AD332" i="1"/>
  <c r="AD331" i="1"/>
  <c r="AD330" i="1"/>
  <c r="AD329" i="1"/>
  <c r="AD328" i="1"/>
  <c r="AD327" i="1"/>
  <c r="AD326" i="1"/>
  <c r="AD325" i="1"/>
  <c r="AD324" i="1"/>
  <c r="AD323" i="1"/>
  <c r="AD322" i="1"/>
  <c r="AD321" i="1"/>
  <c r="AD320" i="1"/>
  <c r="AD319" i="1"/>
  <c r="AD318" i="1"/>
  <c r="AD317" i="1"/>
  <c r="AD316" i="1"/>
  <c r="AD315" i="1"/>
  <c r="AD314" i="1"/>
  <c r="AD313" i="1"/>
  <c r="AD312" i="1"/>
  <c r="AD311" i="1"/>
  <c r="AD310" i="1"/>
  <c r="AD309" i="1"/>
  <c r="AD308" i="1"/>
  <c r="AD307" i="1"/>
  <c r="AD306" i="1"/>
  <c r="AD305" i="1"/>
  <c r="AD304" i="1"/>
  <c r="AD303" i="1"/>
  <c r="AD302" i="1"/>
  <c r="AD301" i="1"/>
  <c r="G301" i="1" s="1"/>
  <c r="AD300" i="1"/>
  <c r="G300" i="1" s="1"/>
  <c r="AD299" i="1"/>
  <c r="G299" i="1" s="1"/>
  <c r="AD298" i="1"/>
  <c r="AD297" i="1"/>
  <c r="AD296" i="1"/>
  <c r="AD295" i="1"/>
  <c r="AD294" i="1"/>
  <c r="AD293" i="1"/>
  <c r="AD292" i="1"/>
  <c r="AD291" i="1"/>
  <c r="AD290" i="1"/>
  <c r="AD289" i="1"/>
  <c r="AD288" i="1"/>
  <c r="AD287" i="1"/>
  <c r="AD286" i="1"/>
  <c r="AD285" i="1"/>
  <c r="AD284" i="1"/>
  <c r="AD283" i="1"/>
  <c r="AD282" i="1"/>
  <c r="AD281" i="1"/>
  <c r="AD280" i="1"/>
  <c r="AD279" i="1"/>
  <c r="AD278" i="1"/>
  <c r="AD277" i="1"/>
  <c r="AD276" i="1"/>
  <c r="AD275" i="1"/>
  <c r="AD274" i="1"/>
  <c r="AD273" i="1"/>
  <c r="AD272" i="1"/>
  <c r="AD271" i="1"/>
  <c r="AD270" i="1"/>
  <c r="AD269" i="1"/>
  <c r="AD268" i="1"/>
  <c r="AD267" i="1"/>
  <c r="AD266" i="1"/>
  <c r="AD265" i="1"/>
  <c r="AD264" i="1"/>
  <c r="AD263" i="1"/>
  <c r="AD262" i="1"/>
  <c r="AD261" i="1"/>
  <c r="AD260" i="1"/>
  <c r="AD259" i="1"/>
  <c r="AD258" i="1"/>
  <c r="AD257" i="1"/>
  <c r="AD256" i="1"/>
  <c r="AD255" i="1"/>
  <c r="AD254" i="1"/>
  <c r="AD253" i="1"/>
  <c r="AD252" i="1"/>
  <c r="AD251" i="1"/>
  <c r="AD250" i="1"/>
  <c r="AD249" i="1"/>
  <c r="AD248" i="1"/>
  <c r="AD247" i="1"/>
  <c r="AD246" i="1"/>
  <c r="AD245" i="1"/>
  <c r="AD244" i="1"/>
  <c r="AD243" i="1"/>
  <c r="AD242" i="1"/>
  <c r="AD241" i="1"/>
  <c r="AD240" i="1"/>
  <c r="AD239" i="1"/>
  <c r="AD238" i="1"/>
  <c r="AD237" i="1"/>
  <c r="AD236" i="1"/>
  <c r="AD235" i="1"/>
  <c r="AD234" i="1"/>
  <c r="AD233" i="1"/>
  <c r="AD232" i="1"/>
  <c r="AD231" i="1"/>
  <c r="AD230" i="1"/>
  <c r="AD229" i="1"/>
  <c r="AD228" i="1"/>
  <c r="AD227" i="1"/>
  <c r="AD226" i="1"/>
  <c r="AD225" i="1"/>
  <c r="AD224" i="1"/>
  <c r="AD223" i="1"/>
  <c r="AD222" i="1"/>
  <c r="AD221" i="1"/>
  <c r="AD220" i="1"/>
  <c r="AD219" i="1"/>
  <c r="AD218" i="1"/>
  <c r="AD217" i="1"/>
  <c r="AD216" i="1"/>
  <c r="AD215" i="1"/>
  <c r="AD214" i="1"/>
  <c r="AD213" i="1"/>
  <c r="AD212" i="1"/>
  <c r="AD211" i="1"/>
  <c r="AD210" i="1"/>
  <c r="AD209" i="1"/>
  <c r="AD208" i="1"/>
  <c r="AD207" i="1"/>
  <c r="AD206" i="1"/>
  <c r="AD205" i="1"/>
  <c r="AD204" i="1"/>
  <c r="AD203" i="1"/>
  <c r="AD202" i="1"/>
  <c r="AD201" i="1"/>
  <c r="AD200" i="1"/>
  <c r="AD199" i="1"/>
  <c r="AD198" i="1"/>
  <c r="AD197" i="1"/>
  <c r="AD196" i="1"/>
  <c r="AD195" i="1"/>
  <c r="AD194" i="1"/>
  <c r="AD193" i="1"/>
  <c r="AD192" i="1"/>
  <c r="AD191" i="1"/>
  <c r="AD190" i="1"/>
  <c r="AD189" i="1"/>
  <c r="AD188" i="1"/>
  <c r="AD187" i="1"/>
  <c r="AD186" i="1"/>
  <c r="AD185" i="1"/>
  <c r="AD184" i="1"/>
  <c r="AD183" i="1"/>
  <c r="AD182" i="1"/>
  <c r="AD181" i="1"/>
  <c r="AD180" i="1"/>
  <c r="AD179" i="1"/>
  <c r="AD178" i="1"/>
  <c r="AD177" i="1"/>
  <c r="AD176" i="1"/>
  <c r="AD175" i="1"/>
  <c r="AD174" i="1"/>
  <c r="AD173" i="1"/>
  <c r="AD172" i="1"/>
  <c r="AD171" i="1"/>
  <c r="AD170" i="1"/>
  <c r="AD169" i="1"/>
  <c r="AD168" i="1"/>
  <c r="AD167" i="1"/>
  <c r="AD166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C677" i="1"/>
  <c r="AB677" i="1"/>
  <c r="G9" i="1" l="1"/>
  <c r="G21" i="1"/>
  <c r="G33" i="1"/>
  <c r="G45" i="1"/>
  <c r="G57" i="1"/>
  <c r="G69" i="1"/>
  <c r="G81" i="1"/>
  <c r="G93" i="1"/>
  <c r="G105" i="1"/>
  <c r="G117" i="1"/>
  <c r="G129" i="1"/>
  <c r="G141" i="1"/>
  <c r="G153" i="1"/>
  <c r="G165" i="1"/>
  <c r="G177" i="1"/>
  <c r="G189" i="1"/>
  <c r="G201" i="1"/>
  <c r="G213" i="1"/>
  <c r="G225" i="1"/>
  <c r="G237" i="1"/>
  <c r="G249" i="1"/>
  <c r="G261" i="1"/>
  <c r="G273" i="1"/>
  <c r="G285" i="1"/>
  <c r="G297" i="1"/>
  <c r="G312" i="1"/>
  <c r="G324" i="1"/>
  <c r="G336" i="1"/>
  <c r="G348" i="1"/>
  <c r="G360" i="1"/>
  <c r="G372" i="1"/>
  <c r="G384" i="1"/>
  <c r="G396" i="1"/>
  <c r="G420" i="1"/>
  <c r="G432" i="1"/>
  <c r="G444" i="1"/>
  <c r="G408" i="1"/>
  <c r="G456" i="1"/>
  <c r="G468" i="1"/>
  <c r="G480" i="1"/>
  <c r="G492" i="1"/>
  <c r="G504" i="1"/>
  <c r="G516" i="1"/>
  <c r="G528" i="1"/>
  <c r="G540" i="1"/>
  <c r="G552" i="1"/>
  <c r="G564" i="1"/>
  <c r="G576" i="1"/>
  <c r="G588" i="1"/>
  <c r="G600" i="1"/>
  <c r="G612" i="1"/>
  <c r="G624" i="1"/>
  <c r="G636" i="1"/>
  <c r="G648" i="1"/>
  <c r="G660" i="1"/>
  <c r="G672" i="1"/>
  <c r="G313" i="1"/>
  <c r="G325" i="1"/>
  <c r="G337" i="1"/>
  <c r="G349" i="1"/>
  <c r="G361" i="1"/>
  <c r="G373" i="1"/>
  <c r="G385" i="1"/>
  <c r="G397" i="1"/>
  <c r="G409" i="1"/>
  <c r="G421" i="1"/>
  <c r="G433" i="1"/>
  <c r="G445" i="1"/>
  <c r="G457" i="1"/>
  <c r="G469" i="1"/>
  <c r="G481" i="1"/>
  <c r="G493" i="1"/>
  <c r="G505" i="1"/>
  <c r="G517" i="1"/>
  <c r="G529" i="1"/>
  <c r="G541" i="1"/>
  <c r="G553" i="1"/>
  <c r="G565" i="1"/>
  <c r="G577" i="1"/>
  <c r="G589" i="1"/>
  <c r="G601" i="1"/>
  <c r="G613" i="1"/>
  <c r="G625" i="1"/>
  <c r="G637" i="1"/>
  <c r="G649" i="1"/>
  <c r="G661" i="1"/>
  <c r="G673" i="1"/>
  <c r="G303" i="1"/>
  <c r="G315" i="1"/>
  <c r="G327" i="1"/>
  <c r="G339" i="1"/>
  <c r="G351" i="1"/>
  <c r="G363" i="1"/>
  <c r="G375" i="1"/>
  <c r="G387" i="1"/>
  <c r="G399" i="1"/>
  <c r="G411" i="1"/>
  <c r="G423" i="1"/>
  <c r="G435" i="1"/>
  <c r="G447" i="1"/>
  <c r="G459" i="1"/>
  <c r="G471" i="1"/>
  <c r="G483" i="1"/>
  <c r="G495" i="1"/>
  <c r="G507" i="1"/>
  <c r="G519" i="1"/>
  <c r="G531" i="1"/>
  <c r="G543" i="1"/>
  <c r="G555" i="1"/>
  <c r="G567" i="1"/>
  <c r="G579" i="1"/>
  <c r="G591" i="1"/>
  <c r="G603" i="1"/>
  <c r="G615" i="1"/>
  <c r="G627" i="1"/>
  <c r="G639" i="1"/>
  <c r="G651" i="1"/>
  <c r="G663" i="1"/>
  <c r="G675" i="1"/>
  <c r="G82" i="1"/>
  <c r="G10" i="1"/>
  <c r="G130" i="1"/>
  <c r="G262" i="1"/>
  <c r="G11" i="1"/>
  <c r="G23" i="1"/>
  <c r="G35" i="1"/>
  <c r="G47" i="1"/>
  <c r="G59" i="1"/>
  <c r="G71" i="1"/>
  <c r="G83" i="1"/>
  <c r="G95" i="1"/>
  <c r="G107" i="1"/>
  <c r="G119" i="1"/>
  <c r="G131" i="1"/>
  <c r="G143" i="1"/>
  <c r="G155" i="1"/>
  <c r="G167" i="1"/>
  <c r="G179" i="1"/>
  <c r="G191" i="1"/>
  <c r="G203" i="1"/>
  <c r="G215" i="1"/>
  <c r="G227" i="1"/>
  <c r="G239" i="1"/>
  <c r="G251" i="1"/>
  <c r="G263" i="1"/>
  <c r="G275" i="1"/>
  <c r="G287" i="1"/>
  <c r="G302" i="1"/>
  <c r="G314" i="1"/>
  <c r="G326" i="1"/>
  <c r="G338" i="1"/>
  <c r="G350" i="1"/>
  <c r="G362" i="1"/>
  <c r="G374" i="1"/>
  <c r="G386" i="1"/>
  <c r="G398" i="1"/>
  <c r="G410" i="1"/>
  <c r="G422" i="1"/>
  <c r="G434" i="1"/>
  <c r="G446" i="1"/>
  <c r="G458" i="1"/>
  <c r="G470" i="1"/>
  <c r="G482" i="1"/>
  <c r="G494" i="1"/>
  <c r="G506" i="1"/>
  <c r="G518" i="1"/>
  <c r="G530" i="1"/>
  <c r="G542" i="1"/>
  <c r="G554" i="1"/>
  <c r="G566" i="1"/>
  <c r="G578" i="1"/>
  <c r="G590" i="1"/>
  <c r="G602" i="1"/>
  <c r="G614" i="1"/>
  <c r="G626" i="1"/>
  <c r="G638" i="1"/>
  <c r="G650" i="1"/>
  <c r="G662" i="1"/>
  <c r="G674" i="1"/>
  <c r="G34" i="1"/>
  <c r="G106" i="1"/>
  <c r="G178" i="1"/>
  <c r="G202" i="1"/>
  <c r="G250" i="1"/>
  <c r="G36" i="1"/>
  <c r="G72" i="1"/>
  <c r="G84" i="1"/>
  <c r="G96" i="1"/>
  <c r="G108" i="1"/>
  <c r="G132" i="1"/>
  <c r="G144" i="1"/>
  <c r="G156" i="1"/>
  <c r="G168" i="1"/>
  <c r="G192" i="1"/>
  <c r="G204" i="1"/>
  <c r="G240" i="1"/>
  <c r="G276" i="1"/>
  <c r="G142" i="1"/>
  <c r="G48" i="1"/>
  <c r="G120" i="1"/>
  <c r="G13" i="1"/>
  <c r="G25" i="1"/>
  <c r="G37" i="1"/>
  <c r="G49" i="1"/>
  <c r="G61" i="1"/>
  <c r="G73" i="1"/>
  <c r="G85" i="1"/>
  <c r="G97" i="1"/>
  <c r="G109" i="1"/>
  <c r="G121" i="1"/>
  <c r="G133" i="1"/>
  <c r="G145" i="1"/>
  <c r="G157" i="1"/>
  <c r="G169" i="1"/>
  <c r="G181" i="1"/>
  <c r="G193" i="1"/>
  <c r="G205" i="1"/>
  <c r="G217" i="1"/>
  <c r="G229" i="1"/>
  <c r="G241" i="1"/>
  <c r="G253" i="1"/>
  <c r="G265" i="1"/>
  <c r="G277" i="1"/>
  <c r="G289" i="1"/>
  <c r="G304" i="1"/>
  <c r="G316" i="1"/>
  <c r="G328" i="1"/>
  <c r="G340" i="1"/>
  <c r="G352" i="1"/>
  <c r="G364" i="1"/>
  <c r="G376" i="1"/>
  <c r="G388" i="1"/>
  <c r="G400" i="1"/>
  <c r="G412" i="1"/>
  <c r="G424" i="1"/>
  <c r="G436" i="1"/>
  <c r="G448" i="1"/>
  <c r="G460" i="1"/>
  <c r="G472" i="1"/>
  <c r="G484" i="1"/>
  <c r="G496" i="1"/>
  <c r="G508" i="1"/>
  <c r="G520" i="1"/>
  <c r="G532" i="1"/>
  <c r="G544" i="1"/>
  <c r="G556" i="1"/>
  <c r="G568" i="1"/>
  <c r="G580" i="1"/>
  <c r="G592" i="1"/>
  <c r="G604" i="1"/>
  <c r="G616" i="1"/>
  <c r="G628" i="1"/>
  <c r="G640" i="1"/>
  <c r="G652" i="1"/>
  <c r="G664" i="1"/>
  <c r="G22" i="1"/>
  <c r="G94" i="1"/>
  <c r="G166" i="1"/>
  <c r="G190" i="1"/>
  <c r="G226" i="1"/>
  <c r="G286" i="1"/>
  <c r="G180" i="1"/>
  <c r="G14" i="1"/>
  <c r="G26" i="1"/>
  <c r="G38" i="1"/>
  <c r="G50" i="1"/>
  <c r="G62" i="1"/>
  <c r="G74" i="1"/>
  <c r="G86" i="1"/>
  <c r="G98" i="1"/>
  <c r="G110" i="1"/>
  <c r="G122" i="1"/>
  <c r="G134" i="1"/>
  <c r="G146" i="1"/>
  <c r="G158" i="1"/>
  <c r="G170" i="1"/>
  <c r="G182" i="1"/>
  <c r="G194" i="1"/>
  <c r="G206" i="1"/>
  <c r="G218" i="1"/>
  <c r="G230" i="1"/>
  <c r="G242" i="1"/>
  <c r="G254" i="1"/>
  <c r="G266" i="1"/>
  <c r="G278" i="1"/>
  <c r="G290" i="1"/>
  <c r="G305" i="1"/>
  <c r="G317" i="1"/>
  <c r="G329" i="1"/>
  <c r="G341" i="1"/>
  <c r="G353" i="1"/>
  <c r="G365" i="1"/>
  <c r="G377" i="1"/>
  <c r="G389" i="1"/>
  <c r="G401" i="1"/>
  <c r="G413" i="1"/>
  <c r="G425" i="1"/>
  <c r="G437" i="1"/>
  <c r="G449" i="1"/>
  <c r="G461" i="1"/>
  <c r="G473" i="1"/>
  <c r="G485" i="1"/>
  <c r="G497" i="1"/>
  <c r="G509" i="1"/>
  <c r="G521" i="1"/>
  <c r="G533" i="1"/>
  <c r="G545" i="1"/>
  <c r="G557" i="1"/>
  <c r="G569" i="1"/>
  <c r="G581" i="1"/>
  <c r="G593" i="1"/>
  <c r="G605" i="1"/>
  <c r="G617" i="1"/>
  <c r="G629" i="1"/>
  <c r="G641" i="1"/>
  <c r="G653" i="1"/>
  <c r="G665" i="1"/>
  <c r="G46" i="1"/>
  <c r="G214" i="1"/>
  <c r="G60" i="1"/>
  <c r="G252" i="1"/>
  <c r="G15" i="1"/>
  <c r="G27" i="1"/>
  <c r="G39" i="1"/>
  <c r="G51" i="1"/>
  <c r="G63" i="1"/>
  <c r="G75" i="1"/>
  <c r="G87" i="1"/>
  <c r="G99" i="1"/>
  <c r="G111" i="1"/>
  <c r="G123" i="1"/>
  <c r="G135" i="1"/>
  <c r="G147" i="1"/>
  <c r="G159" i="1"/>
  <c r="G171" i="1"/>
  <c r="G183" i="1"/>
  <c r="G195" i="1"/>
  <c r="G207" i="1"/>
  <c r="G219" i="1"/>
  <c r="G231" i="1"/>
  <c r="G243" i="1"/>
  <c r="G255" i="1"/>
  <c r="G267" i="1"/>
  <c r="G279" i="1"/>
  <c r="G291" i="1"/>
  <c r="G306" i="1"/>
  <c r="G318" i="1"/>
  <c r="G330" i="1"/>
  <c r="G342" i="1"/>
  <c r="G354" i="1"/>
  <c r="G366" i="1"/>
  <c r="G378" i="1"/>
  <c r="G390" i="1"/>
  <c r="G402" i="1"/>
  <c r="G414" i="1"/>
  <c r="G426" i="1"/>
  <c r="G438" i="1"/>
  <c r="G450" i="1"/>
  <c r="G462" i="1"/>
  <c r="G474" i="1"/>
  <c r="G486" i="1"/>
  <c r="G498" i="1"/>
  <c r="G510" i="1"/>
  <c r="G522" i="1"/>
  <c r="G534" i="1"/>
  <c r="G546" i="1"/>
  <c r="G558" i="1"/>
  <c r="G570" i="1"/>
  <c r="G582" i="1"/>
  <c r="G594" i="1"/>
  <c r="G606" i="1"/>
  <c r="G618" i="1"/>
  <c r="G630" i="1"/>
  <c r="G642" i="1"/>
  <c r="G654" i="1"/>
  <c r="G666" i="1"/>
  <c r="G154" i="1"/>
  <c r="G264" i="1"/>
  <c r="G16" i="1"/>
  <c r="G28" i="1"/>
  <c r="G40" i="1"/>
  <c r="G52" i="1"/>
  <c r="G64" i="1"/>
  <c r="G76" i="1"/>
  <c r="G88" i="1"/>
  <c r="G100" i="1"/>
  <c r="G112" i="1"/>
  <c r="G124" i="1"/>
  <c r="G136" i="1"/>
  <c r="G148" i="1"/>
  <c r="G160" i="1"/>
  <c r="G172" i="1"/>
  <c r="G184" i="1"/>
  <c r="G196" i="1"/>
  <c r="G208" i="1"/>
  <c r="G220" i="1"/>
  <c r="G232" i="1"/>
  <c r="G244" i="1"/>
  <c r="G256" i="1"/>
  <c r="G268" i="1"/>
  <c r="G280" i="1"/>
  <c r="G292" i="1"/>
  <c r="G307" i="1"/>
  <c r="G319" i="1"/>
  <c r="G331" i="1"/>
  <c r="G343" i="1"/>
  <c r="G355" i="1"/>
  <c r="G367" i="1"/>
  <c r="G379" i="1"/>
  <c r="G391" i="1"/>
  <c r="G403" i="1"/>
  <c r="G415" i="1"/>
  <c r="G427" i="1"/>
  <c r="G439" i="1"/>
  <c r="G451" i="1"/>
  <c r="G463" i="1"/>
  <c r="G475" i="1"/>
  <c r="G487" i="1"/>
  <c r="G499" i="1"/>
  <c r="G511" i="1"/>
  <c r="G523" i="1"/>
  <c r="G535" i="1"/>
  <c r="G547" i="1"/>
  <c r="G559" i="1"/>
  <c r="G571" i="1"/>
  <c r="G583" i="1"/>
  <c r="G595" i="1"/>
  <c r="G607" i="1"/>
  <c r="G619" i="1"/>
  <c r="G631" i="1"/>
  <c r="G643" i="1"/>
  <c r="G655" i="1"/>
  <c r="G667" i="1"/>
  <c r="G118" i="1"/>
  <c r="G298" i="1"/>
  <c r="G24" i="1"/>
  <c r="G288" i="1"/>
  <c r="G5" i="1"/>
  <c r="G17" i="1"/>
  <c r="G29" i="1"/>
  <c r="G41" i="1"/>
  <c r="G53" i="1"/>
  <c r="G65" i="1"/>
  <c r="G77" i="1"/>
  <c r="G89" i="1"/>
  <c r="G101" i="1"/>
  <c r="G113" i="1"/>
  <c r="G125" i="1"/>
  <c r="G137" i="1"/>
  <c r="G149" i="1"/>
  <c r="G161" i="1"/>
  <c r="G173" i="1"/>
  <c r="G185" i="1"/>
  <c r="G197" i="1"/>
  <c r="G209" i="1"/>
  <c r="G221" i="1"/>
  <c r="G233" i="1"/>
  <c r="G245" i="1"/>
  <c r="G257" i="1"/>
  <c r="G269" i="1"/>
  <c r="G281" i="1"/>
  <c r="G293" i="1"/>
  <c r="G308" i="1"/>
  <c r="G320" i="1"/>
  <c r="G332" i="1"/>
  <c r="G344" i="1"/>
  <c r="G356" i="1"/>
  <c r="G368" i="1"/>
  <c r="G380" i="1"/>
  <c r="G392" i="1"/>
  <c r="G404" i="1"/>
  <c r="G416" i="1"/>
  <c r="G428" i="1"/>
  <c r="G440" i="1"/>
  <c r="G452" i="1"/>
  <c r="G464" i="1"/>
  <c r="G476" i="1"/>
  <c r="G488" i="1"/>
  <c r="G500" i="1"/>
  <c r="G512" i="1"/>
  <c r="G524" i="1"/>
  <c r="G536" i="1"/>
  <c r="G548" i="1"/>
  <c r="G560" i="1"/>
  <c r="G572" i="1"/>
  <c r="G584" i="1"/>
  <c r="G596" i="1"/>
  <c r="G608" i="1"/>
  <c r="G620" i="1"/>
  <c r="G632" i="1"/>
  <c r="G644" i="1"/>
  <c r="G656" i="1"/>
  <c r="G668" i="1"/>
  <c r="G70" i="1"/>
  <c r="G274" i="1"/>
  <c r="G12" i="1"/>
  <c r="G216" i="1"/>
  <c r="G6" i="1"/>
  <c r="G18" i="1"/>
  <c r="G30" i="1"/>
  <c r="G42" i="1"/>
  <c r="G54" i="1"/>
  <c r="G66" i="1"/>
  <c r="G78" i="1"/>
  <c r="G90" i="1"/>
  <c r="G102" i="1"/>
  <c r="G114" i="1"/>
  <c r="G126" i="1"/>
  <c r="G138" i="1"/>
  <c r="G150" i="1"/>
  <c r="G162" i="1"/>
  <c r="G174" i="1"/>
  <c r="G186" i="1"/>
  <c r="G198" i="1"/>
  <c r="G210" i="1"/>
  <c r="G222" i="1"/>
  <c r="G234" i="1"/>
  <c r="G246" i="1"/>
  <c r="G258" i="1"/>
  <c r="G270" i="1"/>
  <c r="G282" i="1"/>
  <c r="G294" i="1"/>
  <c r="G309" i="1"/>
  <c r="G321" i="1"/>
  <c r="G333" i="1"/>
  <c r="G345" i="1"/>
  <c r="G357" i="1"/>
  <c r="G369" i="1"/>
  <c r="G381" i="1"/>
  <c r="G393" i="1"/>
  <c r="G405" i="1"/>
  <c r="G417" i="1"/>
  <c r="G429" i="1"/>
  <c r="G441" i="1"/>
  <c r="G453" i="1"/>
  <c r="G465" i="1"/>
  <c r="G477" i="1"/>
  <c r="G489" i="1"/>
  <c r="G501" i="1"/>
  <c r="G513" i="1"/>
  <c r="G525" i="1"/>
  <c r="G537" i="1"/>
  <c r="G549" i="1"/>
  <c r="G561" i="1"/>
  <c r="G573" i="1"/>
  <c r="G585" i="1"/>
  <c r="G597" i="1"/>
  <c r="G609" i="1"/>
  <c r="G621" i="1"/>
  <c r="G633" i="1"/>
  <c r="G645" i="1"/>
  <c r="G657" i="1"/>
  <c r="G669" i="1"/>
  <c r="G58" i="1"/>
  <c r="G238" i="1"/>
  <c r="G228" i="1"/>
  <c r="G7" i="1"/>
  <c r="G19" i="1"/>
  <c r="G31" i="1"/>
  <c r="G43" i="1"/>
  <c r="G55" i="1"/>
  <c r="G67" i="1"/>
  <c r="G79" i="1"/>
  <c r="G91" i="1"/>
  <c r="G103" i="1"/>
  <c r="G115" i="1"/>
  <c r="G127" i="1"/>
  <c r="G139" i="1"/>
  <c r="G151" i="1"/>
  <c r="G163" i="1"/>
  <c r="G175" i="1"/>
  <c r="G187" i="1"/>
  <c r="G199" i="1"/>
  <c r="G211" i="1"/>
  <c r="G223" i="1"/>
  <c r="G235" i="1"/>
  <c r="G247" i="1"/>
  <c r="G259" i="1"/>
  <c r="G271" i="1"/>
  <c r="G283" i="1"/>
  <c r="G295" i="1"/>
  <c r="G310" i="1"/>
  <c r="G322" i="1"/>
  <c r="G334" i="1"/>
  <c r="G346" i="1"/>
  <c r="G358" i="1"/>
  <c r="G370" i="1"/>
  <c r="G382" i="1"/>
  <c r="G394" i="1"/>
  <c r="G406" i="1"/>
  <c r="G418" i="1"/>
  <c r="G430" i="1"/>
  <c r="G442" i="1"/>
  <c r="G454" i="1"/>
  <c r="G466" i="1"/>
  <c r="G478" i="1"/>
  <c r="G490" i="1"/>
  <c r="G502" i="1"/>
  <c r="G514" i="1"/>
  <c r="G526" i="1"/>
  <c r="G538" i="1"/>
  <c r="G550" i="1"/>
  <c r="G562" i="1"/>
  <c r="G574" i="1"/>
  <c r="G586" i="1"/>
  <c r="G598" i="1"/>
  <c r="G610" i="1"/>
  <c r="G622" i="1"/>
  <c r="G634" i="1"/>
  <c r="G646" i="1"/>
  <c r="G658" i="1"/>
  <c r="G670" i="1"/>
  <c r="G4" i="1"/>
  <c r="H4" i="1"/>
  <c r="F19" i="1"/>
  <c r="F43" i="1"/>
  <c r="F67" i="1"/>
  <c r="F91" i="1"/>
  <c r="F115" i="1"/>
  <c r="F139" i="1"/>
  <c r="F163" i="1"/>
  <c r="F187" i="1"/>
  <c r="F211" i="1"/>
  <c r="F235" i="1"/>
  <c r="F259" i="1"/>
  <c r="F283" i="1"/>
  <c r="F307" i="1"/>
  <c r="F331" i="1"/>
  <c r="F355" i="1"/>
  <c r="F379" i="1"/>
  <c r="F403" i="1"/>
  <c r="F427" i="1"/>
  <c r="F451" i="1"/>
  <c r="F475" i="1"/>
  <c r="F499" i="1"/>
  <c r="F523" i="1"/>
  <c r="F547" i="1"/>
  <c r="F571" i="1"/>
  <c r="F595" i="1"/>
  <c r="F619" i="1"/>
  <c r="F643" i="1"/>
  <c r="F667" i="1"/>
  <c r="F20" i="1"/>
  <c r="F44" i="1"/>
  <c r="F68" i="1"/>
  <c r="F92" i="1"/>
  <c r="F116" i="1"/>
  <c r="F140" i="1"/>
  <c r="F164" i="1"/>
  <c r="F188" i="1"/>
  <c r="F212" i="1"/>
  <c r="F236" i="1"/>
  <c r="F260" i="1"/>
  <c r="F284" i="1"/>
  <c r="F308" i="1"/>
  <c r="F332" i="1"/>
  <c r="F356" i="1"/>
  <c r="F380" i="1"/>
  <c r="F404" i="1"/>
  <c r="F428" i="1"/>
  <c r="F452" i="1"/>
  <c r="F476" i="1"/>
  <c r="F500" i="1"/>
  <c r="F524" i="1"/>
  <c r="F548" i="1"/>
  <c r="F572" i="1"/>
  <c r="F620" i="1"/>
  <c r="F644" i="1"/>
  <c r="F668" i="1"/>
  <c r="F27" i="1"/>
  <c r="F51" i="1"/>
  <c r="F75" i="1"/>
  <c r="F99" i="1"/>
  <c r="F123" i="1"/>
  <c r="F147" i="1"/>
  <c r="F171" i="1"/>
  <c r="F195" i="1"/>
  <c r="F219" i="1"/>
  <c r="F243" i="1"/>
  <c r="F267" i="1"/>
  <c r="F291" i="1"/>
  <c r="F315" i="1"/>
  <c r="F339" i="1"/>
  <c r="F363" i="1"/>
  <c r="F387" i="1"/>
  <c r="F411" i="1"/>
  <c r="F435" i="1"/>
  <c r="F459" i="1"/>
  <c r="F483" i="1"/>
  <c r="F507" i="1"/>
  <c r="F531" i="1"/>
  <c r="F555" i="1"/>
  <c r="F579" i="1"/>
  <c r="F603" i="1"/>
  <c r="F627" i="1"/>
  <c r="F651" i="1"/>
  <c r="F675" i="1"/>
  <c r="F12" i="1"/>
  <c r="F36" i="1"/>
  <c r="F60" i="1"/>
  <c r="F84" i="1"/>
  <c r="F108" i="1"/>
  <c r="F132" i="1"/>
  <c r="F156" i="1"/>
  <c r="F180" i="1"/>
  <c r="F204" i="1"/>
  <c r="F228" i="1"/>
  <c r="F252" i="1"/>
  <c r="F276" i="1"/>
  <c r="F300" i="1"/>
  <c r="F324" i="1"/>
  <c r="F348" i="1"/>
  <c r="F372" i="1"/>
  <c r="F396" i="1"/>
  <c r="F420" i="1"/>
  <c r="F444" i="1"/>
  <c r="F468" i="1"/>
  <c r="F492" i="1"/>
  <c r="F516" i="1"/>
  <c r="F540" i="1"/>
  <c r="F564" i="1"/>
  <c r="F588" i="1"/>
  <c r="F612" i="1"/>
  <c r="F636" i="1"/>
  <c r="F660" i="1"/>
  <c r="F596" i="1"/>
  <c r="F11" i="1"/>
  <c r="F35" i="1"/>
  <c r="F59" i="1"/>
  <c r="F83" i="1"/>
  <c r="F107" i="1"/>
  <c r="F131" i="1"/>
  <c r="F155" i="1"/>
  <c r="F179" i="1"/>
  <c r="F203" i="1"/>
  <c r="F227" i="1"/>
  <c r="F251" i="1"/>
  <c r="F275" i="1"/>
  <c r="F299" i="1"/>
  <c r="F323" i="1"/>
  <c r="F347" i="1"/>
  <c r="F371" i="1"/>
  <c r="F395" i="1"/>
  <c r="F419" i="1"/>
  <c r="F443" i="1"/>
  <c r="F467" i="1"/>
  <c r="F491" i="1"/>
  <c r="F515" i="1"/>
  <c r="F539" i="1"/>
  <c r="F563" i="1"/>
  <c r="F587" i="1"/>
  <c r="F611" i="1"/>
  <c r="F635" i="1"/>
  <c r="F659" i="1"/>
  <c r="AD677" i="1"/>
  <c r="F10" i="1"/>
  <c r="F18" i="1"/>
  <c r="F26" i="1"/>
  <c r="F34" i="1"/>
  <c r="F42" i="1"/>
  <c r="F50" i="1"/>
  <c r="F58" i="1"/>
  <c r="F676" i="1"/>
  <c r="F69" i="1"/>
  <c r="F117" i="1"/>
  <c r="F165" i="1"/>
  <c r="F189" i="1"/>
  <c r="F205" i="1"/>
  <c r="F221" i="1"/>
  <c r="F229" i="1"/>
  <c r="F237" i="1"/>
  <c r="F245" i="1"/>
  <c r="F253" i="1"/>
  <c r="F261" i="1"/>
  <c r="F269" i="1"/>
  <c r="F277" i="1"/>
  <c r="F285" i="1"/>
  <c r="F293" i="1"/>
  <c r="F309" i="1"/>
  <c r="F325" i="1"/>
  <c r="F333" i="1"/>
  <c r="F341" i="1"/>
  <c r="F357" i="1"/>
  <c r="F365" i="1"/>
  <c r="F381" i="1"/>
  <c r="F389" i="1"/>
  <c r="F397" i="1"/>
  <c r="F405" i="1"/>
  <c r="F413" i="1"/>
  <c r="F421" i="1"/>
  <c r="F429" i="1"/>
  <c r="F437" i="1"/>
  <c r="F445" i="1"/>
  <c r="F453" i="1"/>
  <c r="F461" i="1"/>
  <c r="F469" i="1"/>
  <c r="F477" i="1"/>
  <c r="F485" i="1"/>
  <c r="F493" i="1"/>
  <c r="F501" i="1"/>
  <c r="F509" i="1"/>
  <c r="F517" i="1"/>
  <c r="F525" i="1"/>
  <c r="F533" i="1"/>
  <c r="F541" i="1"/>
  <c r="F549" i="1"/>
  <c r="F557" i="1"/>
  <c r="F565" i="1"/>
  <c r="F573" i="1"/>
  <c r="F581" i="1"/>
  <c r="F589" i="1"/>
  <c r="F597" i="1"/>
  <c r="F605" i="1"/>
  <c r="F613" i="1"/>
  <c r="F621" i="1"/>
  <c r="F629" i="1"/>
  <c r="F637" i="1"/>
  <c r="F645" i="1"/>
  <c r="F653" i="1"/>
  <c r="F661" i="1"/>
  <c r="F669" i="1"/>
  <c r="F21" i="1"/>
  <c r="F45" i="1"/>
  <c r="F77" i="1"/>
  <c r="F101" i="1"/>
  <c r="F125" i="1"/>
  <c r="F157" i="1"/>
  <c r="F173" i="1"/>
  <c r="F197" i="1"/>
  <c r="F213" i="1"/>
  <c r="F373" i="1"/>
  <c r="F29" i="1"/>
  <c r="F53" i="1"/>
  <c r="F85" i="1"/>
  <c r="F141" i="1"/>
  <c r="F349" i="1"/>
  <c r="F5" i="1"/>
  <c r="F301" i="1"/>
  <c r="F13" i="1"/>
  <c r="F37" i="1"/>
  <c r="F61" i="1"/>
  <c r="F93" i="1"/>
  <c r="F109" i="1"/>
  <c r="F133" i="1"/>
  <c r="F149" i="1"/>
  <c r="F181" i="1"/>
  <c r="F317" i="1"/>
  <c r="F66" i="1"/>
  <c r="F74" i="1"/>
  <c r="F82" i="1"/>
  <c r="F90" i="1"/>
  <c r="F98" i="1"/>
  <c r="F106" i="1"/>
  <c r="F114" i="1"/>
  <c r="F122" i="1"/>
  <c r="F130" i="1"/>
  <c r="F138" i="1"/>
  <c r="F146" i="1"/>
  <c r="F154" i="1"/>
  <c r="F162" i="1"/>
  <c r="F170" i="1"/>
  <c r="F178" i="1"/>
  <c r="F186" i="1"/>
  <c r="F194" i="1"/>
  <c r="F202" i="1"/>
  <c r="F210" i="1"/>
  <c r="F218" i="1"/>
  <c r="F226" i="1"/>
  <c r="F234" i="1"/>
  <c r="F242" i="1"/>
  <c r="F250" i="1"/>
  <c r="F258" i="1"/>
  <c r="F266" i="1"/>
  <c r="F274" i="1"/>
  <c r="F282" i="1"/>
  <c r="F290" i="1"/>
  <c r="F298" i="1"/>
  <c r="F306" i="1"/>
  <c r="F314" i="1"/>
  <c r="F322" i="1"/>
  <c r="F330" i="1"/>
  <c r="F338" i="1"/>
  <c r="F346" i="1"/>
  <c r="F354" i="1"/>
  <c r="F362" i="1"/>
  <c r="F370" i="1"/>
  <c r="F378" i="1"/>
  <c r="F386" i="1"/>
  <c r="F394" i="1"/>
  <c r="F402" i="1"/>
  <c r="F410" i="1"/>
  <c r="F418" i="1"/>
  <c r="F426" i="1"/>
  <c r="F434" i="1"/>
  <c r="F442" i="1"/>
  <c r="F450" i="1"/>
  <c r="F458" i="1"/>
  <c r="F466" i="1"/>
  <c r="F474" i="1"/>
  <c r="F482" i="1"/>
  <c r="F490" i="1"/>
  <c r="F498" i="1"/>
  <c r="F506" i="1"/>
  <c r="F514" i="1"/>
  <c r="F522" i="1"/>
  <c r="F530" i="1"/>
  <c r="F538" i="1"/>
  <c r="F546" i="1"/>
  <c r="F554" i="1"/>
  <c r="F562" i="1"/>
  <c r="F570" i="1"/>
  <c r="F578" i="1"/>
  <c r="F586" i="1"/>
  <c r="F594" i="1"/>
  <c r="F602" i="1"/>
  <c r="F610" i="1"/>
  <c r="F618" i="1"/>
  <c r="F626" i="1"/>
  <c r="F634" i="1"/>
  <c r="F642" i="1"/>
  <c r="F650" i="1"/>
  <c r="F658" i="1"/>
  <c r="F666" i="1"/>
  <c r="F674" i="1"/>
  <c r="F8" i="1"/>
  <c r="F16" i="1"/>
  <c r="F24" i="1"/>
  <c r="F32" i="1"/>
  <c r="F40" i="1"/>
  <c r="F48" i="1"/>
  <c r="F56" i="1"/>
  <c r="F64" i="1"/>
  <c r="F72" i="1"/>
  <c r="F80" i="1"/>
  <c r="F88" i="1"/>
  <c r="F96" i="1"/>
  <c r="F104" i="1"/>
  <c r="F112" i="1"/>
  <c r="F120" i="1"/>
  <c r="F128" i="1"/>
  <c r="F136" i="1"/>
  <c r="F144" i="1"/>
  <c r="F152" i="1"/>
  <c r="F160" i="1"/>
  <c r="F168" i="1"/>
  <c r="F176" i="1"/>
  <c r="F184" i="1"/>
  <c r="F192" i="1"/>
  <c r="F200" i="1"/>
  <c r="F208" i="1"/>
  <c r="F216" i="1"/>
  <c r="F224" i="1"/>
  <c r="F232" i="1"/>
  <c r="F240" i="1"/>
  <c r="F248" i="1"/>
  <c r="F256" i="1"/>
  <c r="F264" i="1"/>
  <c r="F272" i="1"/>
  <c r="F280" i="1"/>
  <c r="F288" i="1"/>
  <c r="F296" i="1"/>
  <c r="F304" i="1"/>
  <c r="F312" i="1"/>
  <c r="F320" i="1"/>
  <c r="F328" i="1"/>
  <c r="F336" i="1"/>
  <c r="F344" i="1"/>
  <c r="F352" i="1"/>
  <c r="F360" i="1"/>
  <c r="F368" i="1"/>
  <c r="F376" i="1"/>
  <c r="F384" i="1"/>
  <c r="F392" i="1"/>
  <c r="F400" i="1"/>
  <c r="F408" i="1"/>
  <c r="F416" i="1"/>
  <c r="F424" i="1"/>
  <c r="F432" i="1"/>
  <c r="F440" i="1"/>
  <c r="F448" i="1"/>
  <c r="F456" i="1"/>
  <c r="F464" i="1"/>
  <c r="F472" i="1"/>
  <c r="F480" i="1"/>
  <c r="F488" i="1"/>
  <c r="F496" i="1"/>
  <c r="F504" i="1"/>
  <c r="F512" i="1"/>
  <c r="F520" i="1"/>
  <c r="F528" i="1"/>
  <c r="F536" i="1"/>
  <c r="F544" i="1"/>
  <c r="F552" i="1"/>
  <c r="F560" i="1"/>
  <c r="F568" i="1"/>
  <c r="F576" i="1"/>
  <c r="F584" i="1"/>
  <c r="F592" i="1"/>
  <c r="F600" i="1"/>
  <c r="F608" i="1"/>
  <c r="F616" i="1"/>
  <c r="F624" i="1"/>
  <c r="F632" i="1"/>
  <c r="F640" i="1"/>
  <c r="F648" i="1"/>
  <c r="F656" i="1"/>
  <c r="F664" i="1"/>
  <c r="F672" i="1"/>
  <c r="F377" i="1"/>
  <c r="F385" i="1"/>
  <c r="F393" i="1"/>
  <c r="F401" i="1"/>
  <c r="F409" i="1"/>
  <c r="F417" i="1"/>
  <c r="F425" i="1"/>
  <c r="F433" i="1"/>
  <c r="F441" i="1"/>
  <c r="F449" i="1"/>
  <c r="F457" i="1"/>
  <c r="F465" i="1"/>
  <c r="F473" i="1"/>
  <c r="F481" i="1"/>
  <c r="F489" i="1"/>
  <c r="F497" i="1"/>
  <c r="F505" i="1"/>
  <c r="F513" i="1"/>
  <c r="F521" i="1"/>
  <c r="F529" i="1"/>
  <c r="F537" i="1"/>
  <c r="F545" i="1"/>
  <c r="F553" i="1"/>
  <c r="F561" i="1"/>
  <c r="F569" i="1"/>
  <c r="F577" i="1"/>
  <c r="F585" i="1"/>
  <c r="F593" i="1"/>
  <c r="F601" i="1"/>
  <c r="F609" i="1"/>
  <c r="F617" i="1"/>
  <c r="F625" i="1"/>
  <c r="F633" i="1"/>
  <c r="F641" i="1"/>
  <c r="F649" i="1"/>
  <c r="F657" i="1"/>
  <c r="F665" i="1"/>
  <c r="F673" i="1"/>
  <c r="F49" i="1"/>
  <c r="F57" i="1"/>
  <c r="F73" i="1"/>
  <c r="F89" i="1"/>
  <c r="F105" i="1"/>
  <c r="F129" i="1"/>
  <c r="F145" i="1"/>
  <c r="F161" i="1"/>
  <c r="F177" i="1"/>
  <c r="F193" i="1"/>
  <c r="F209" i="1"/>
  <c r="F225" i="1"/>
  <c r="F241" i="1"/>
  <c r="F249" i="1"/>
  <c r="F265" i="1"/>
  <c r="F281" i="1"/>
  <c r="F297" i="1"/>
  <c r="F313" i="1"/>
  <c r="F329" i="1"/>
  <c r="F353" i="1"/>
  <c r="F6" i="1"/>
  <c r="F14" i="1"/>
  <c r="F22" i="1"/>
  <c r="F30" i="1"/>
  <c r="F38" i="1"/>
  <c r="F46" i="1"/>
  <c r="F54" i="1"/>
  <c r="F62" i="1"/>
  <c r="F70" i="1"/>
  <c r="F78" i="1"/>
  <c r="F86" i="1"/>
  <c r="F94" i="1"/>
  <c r="F102" i="1"/>
  <c r="F110" i="1"/>
  <c r="F118" i="1"/>
  <c r="F126" i="1"/>
  <c r="F134" i="1"/>
  <c r="F142" i="1"/>
  <c r="F150" i="1"/>
  <c r="F158" i="1"/>
  <c r="F166" i="1"/>
  <c r="F174" i="1"/>
  <c r="F182" i="1"/>
  <c r="F190" i="1"/>
  <c r="F198" i="1"/>
  <c r="F206" i="1"/>
  <c r="F214" i="1"/>
  <c r="F222" i="1"/>
  <c r="F230" i="1"/>
  <c r="F238" i="1"/>
  <c r="F246" i="1"/>
  <c r="F254" i="1"/>
  <c r="F262" i="1"/>
  <c r="F270" i="1"/>
  <c r="F278" i="1"/>
  <c r="F286" i="1"/>
  <c r="F294" i="1"/>
  <c r="F302" i="1"/>
  <c r="F310" i="1"/>
  <c r="F318" i="1"/>
  <c r="F326" i="1"/>
  <c r="F334" i="1"/>
  <c r="F342" i="1"/>
  <c r="F350" i="1"/>
  <c r="F358" i="1"/>
  <c r="F366" i="1"/>
  <c r="F374" i="1"/>
  <c r="F382" i="1"/>
  <c r="F390" i="1"/>
  <c r="F398" i="1"/>
  <c r="F406" i="1"/>
  <c r="F414" i="1"/>
  <c r="F422" i="1"/>
  <c r="F430" i="1"/>
  <c r="F438" i="1"/>
  <c r="F446" i="1"/>
  <c r="F454" i="1"/>
  <c r="F462" i="1"/>
  <c r="F470" i="1"/>
  <c r="F478" i="1"/>
  <c r="F486" i="1"/>
  <c r="F494" i="1"/>
  <c r="F502" i="1"/>
  <c r="F510" i="1"/>
  <c r="F518" i="1"/>
  <c r="F526" i="1"/>
  <c r="F534" i="1"/>
  <c r="F542" i="1"/>
  <c r="F550" i="1"/>
  <c r="F558" i="1"/>
  <c r="F566" i="1"/>
  <c r="F574" i="1"/>
  <c r="F582" i="1"/>
  <c r="F590" i="1"/>
  <c r="F598" i="1"/>
  <c r="F606" i="1"/>
  <c r="F614" i="1"/>
  <c r="F622" i="1"/>
  <c r="F630" i="1"/>
  <c r="F638" i="1"/>
  <c r="F646" i="1"/>
  <c r="F654" i="1"/>
  <c r="F662" i="1"/>
  <c r="F670" i="1"/>
  <c r="F9" i="1"/>
  <c r="F17" i="1"/>
  <c r="F25" i="1"/>
  <c r="F33" i="1"/>
  <c r="F41" i="1"/>
  <c r="F65" i="1"/>
  <c r="F81" i="1"/>
  <c r="F97" i="1"/>
  <c r="F113" i="1"/>
  <c r="F121" i="1"/>
  <c r="F137" i="1"/>
  <c r="F153" i="1"/>
  <c r="F169" i="1"/>
  <c r="F185" i="1"/>
  <c r="F201" i="1"/>
  <c r="F217" i="1"/>
  <c r="F233" i="1"/>
  <c r="F257" i="1"/>
  <c r="F273" i="1"/>
  <c r="F289" i="1"/>
  <c r="F305" i="1"/>
  <c r="F321" i="1"/>
  <c r="F337" i="1"/>
  <c r="F345" i="1"/>
  <c r="F361" i="1"/>
  <c r="F369" i="1"/>
  <c r="F23" i="1"/>
  <c r="F31" i="1"/>
  <c r="F39" i="1"/>
  <c r="F47" i="1"/>
  <c r="F55" i="1"/>
  <c r="F63" i="1"/>
  <c r="F71" i="1"/>
  <c r="F79" i="1"/>
  <c r="F87" i="1"/>
  <c r="F95" i="1"/>
  <c r="F103" i="1"/>
  <c r="F111" i="1"/>
  <c r="F119" i="1"/>
  <c r="F127" i="1"/>
  <c r="F135" i="1"/>
  <c r="F143" i="1"/>
  <c r="F151" i="1"/>
  <c r="F159" i="1"/>
  <c r="F167" i="1"/>
  <c r="F175" i="1"/>
  <c r="F183" i="1"/>
  <c r="F191" i="1"/>
  <c r="F199" i="1"/>
  <c r="F207" i="1"/>
  <c r="F215" i="1"/>
  <c r="F223" i="1"/>
  <c r="F231" i="1"/>
  <c r="F239" i="1"/>
  <c r="F247" i="1"/>
  <c r="F255" i="1"/>
  <c r="F263" i="1"/>
  <c r="F271" i="1"/>
  <c r="F279" i="1"/>
  <c r="F287" i="1"/>
  <c r="F295" i="1"/>
  <c r="F303" i="1"/>
  <c r="F311" i="1"/>
  <c r="F319" i="1"/>
  <c r="F327" i="1"/>
  <c r="F335" i="1"/>
  <c r="F343" i="1"/>
  <c r="F351" i="1"/>
  <c r="F359" i="1"/>
  <c r="F367" i="1"/>
  <c r="F375" i="1"/>
  <c r="F383" i="1"/>
  <c r="F391" i="1"/>
  <c r="F399" i="1"/>
  <c r="F407" i="1"/>
  <c r="F415" i="1"/>
  <c r="F423" i="1"/>
  <c r="F431" i="1"/>
  <c r="F439" i="1"/>
  <c r="F447" i="1"/>
  <c r="F455" i="1"/>
  <c r="F463" i="1"/>
  <c r="F471" i="1"/>
  <c r="F479" i="1"/>
  <c r="F487" i="1"/>
  <c r="F495" i="1"/>
  <c r="F503" i="1"/>
  <c r="F511" i="1"/>
  <c r="F519" i="1"/>
  <c r="F527" i="1"/>
  <c r="F535" i="1"/>
  <c r="F543" i="1"/>
  <c r="F551" i="1"/>
  <c r="F559" i="1"/>
  <c r="F567" i="1"/>
  <c r="F575" i="1"/>
  <c r="F583" i="1"/>
  <c r="F591" i="1"/>
  <c r="F599" i="1"/>
  <c r="F607" i="1"/>
  <c r="F615" i="1"/>
  <c r="F623" i="1"/>
  <c r="F631" i="1"/>
  <c r="F639" i="1"/>
  <c r="F647" i="1"/>
  <c r="F655" i="1"/>
  <c r="F663" i="1"/>
  <c r="F671" i="1"/>
  <c r="F15" i="1"/>
  <c r="F7" i="1"/>
  <c r="R677" i="1"/>
  <c r="W677" i="1"/>
  <c r="M677" i="1"/>
  <c r="J677" i="1"/>
  <c r="AA676" i="1"/>
  <c r="AA675" i="1"/>
  <c r="AA674" i="1"/>
  <c r="AA673" i="1"/>
  <c r="AA672" i="1"/>
  <c r="AA671" i="1"/>
  <c r="AA670" i="1"/>
  <c r="AA669" i="1"/>
  <c r="AA668" i="1"/>
  <c r="AA667" i="1"/>
  <c r="AA666" i="1"/>
  <c r="AA665" i="1"/>
  <c r="AA664" i="1"/>
  <c r="AA663" i="1"/>
  <c r="AA662" i="1"/>
  <c r="AA661" i="1"/>
  <c r="AA660" i="1"/>
  <c r="AA659" i="1"/>
  <c r="AA658" i="1"/>
  <c r="AA657" i="1"/>
  <c r="AA656" i="1"/>
  <c r="AA655" i="1"/>
  <c r="AA654" i="1"/>
  <c r="AA653" i="1"/>
  <c r="AA652" i="1"/>
  <c r="AA651" i="1"/>
  <c r="AA650" i="1"/>
  <c r="AA649" i="1"/>
  <c r="AA648" i="1"/>
  <c r="AA647" i="1"/>
  <c r="AA646" i="1"/>
  <c r="AA645" i="1"/>
  <c r="AA644" i="1"/>
  <c r="AA643" i="1"/>
  <c r="AA642" i="1"/>
  <c r="AA641" i="1"/>
  <c r="AA640" i="1"/>
  <c r="AA639" i="1"/>
  <c r="AA638" i="1"/>
  <c r="AA637" i="1"/>
  <c r="AA636" i="1"/>
  <c r="AA635" i="1"/>
  <c r="AA634" i="1"/>
  <c r="AA633" i="1"/>
  <c r="AA632" i="1"/>
  <c r="AA631" i="1"/>
  <c r="AA630" i="1"/>
  <c r="AA629" i="1"/>
  <c r="AA628" i="1"/>
  <c r="AA627" i="1"/>
  <c r="AA626" i="1"/>
  <c r="AA625" i="1"/>
  <c r="AA624" i="1"/>
  <c r="AA623" i="1"/>
  <c r="AA622" i="1"/>
  <c r="AA621" i="1"/>
  <c r="AA620" i="1"/>
  <c r="AA619" i="1"/>
  <c r="AA618" i="1"/>
  <c r="AA617" i="1"/>
  <c r="AA616" i="1"/>
  <c r="AA615" i="1"/>
  <c r="AA614" i="1"/>
  <c r="AA613" i="1"/>
  <c r="AA612" i="1"/>
  <c r="AA611" i="1"/>
  <c r="AA610" i="1"/>
  <c r="AA609" i="1"/>
  <c r="AA608" i="1"/>
  <c r="AA607" i="1"/>
  <c r="AA606" i="1"/>
  <c r="AA605" i="1"/>
  <c r="AA604" i="1"/>
  <c r="AA603" i="1"/>
  <c r="AA602" i="1"/>
  <c r="AA601" i="1"/>
  <c r="AA600" i="1"/>
  <c r="AA599" i="1"/>
  <c r="AA598" i="1"/>
  <c r="AA597" i="1"/>
  <c r="AA596" i="1"/>
  <c r="AA595" i="1"/>
  <c r="AA594" i="1"/>
  <c r="AA593" i="1"/>
  <c r="AA592" i="1"/>
  <c r="AA591" i="1"/>
  <c r="AA590" i="1"/>
  <c r="AA589" i="1"/>
  <c r="AA588" i="1"/>
  <c r="AA587" i="1"/>
  <c r="AA586" i="1"/>
  <c r="AA585" i="1"/>
  <c r="AA584" i="1"/>
  <c r="AA583" i="1"/>
  <c r="AA582" i="1"/>
  <c r="AA581" i="1"/>
  <c r="AA580" i="1"/>
  <c r="AA579" i="1"/>
  <c r="AA578" i="1"/>
  <c r="AA577" i="1"/>
  <c r="AA576" i="1"/>
  <c r="AA575" i="1"/>
  <c r="AA574" i="1"/>
  <c r="AA573" i="1"/>
  <c r="AA572" i="1"/>
  <c r="AA571" i="1"/>
  <c r="AA570" i="1"/>
  <c r="AA569" i="1"/>
  <c r="AA568" i="1"/>
  <c r="AA567" i="1"/>
  <c r="AA566" i="1"/>
  <c r="AA565" i="1"/>
  <c r="AA564" i="1"/>
  <c r="AA563" i="1"/>
  <c r="AA562" i="1"/>
  <c r="AA561" i="1"/>
  <c r="AA560" i="1"/>
  <c r="AA559" i="1"/>
  <c r="AA558" i="1"/>
  <c r="AA557" i="1"/>
  <c r="AA556" i="1"/>
  <c r="AA555" i="1"/>
  <c r="AA554" i="1"/>
  <c r="AA553" i="1"/>
  <c r="AA552" i="1"/>
  <c r="AA551" i="1"/>
  <c r="AA550" i="1"/>
  <c r="AA549" i="1"/>
  <c r="AA548" i="1"/>
  <c r="AA547" i="1"/>
  <c r="AA546" i="1"/>
  <c r="AA545" i="1"/>
  <c r="AA544" i="1"/>
  <c r="AA543" i="1"/>
  <c r="AA542" i="1"/>
  <c r="AA541" i="1"/>
  <c r="AA540" i="1"/>
  <c r="AA539" i="1"/>
  <c r="AA538" i="1"/>
  <c r="AA537" i="1"/>
  <c r="AA536" i="1"/>
  <c r="AA535" i="1"/>
  <c r="AA534" i="1"/>
  <c r="AA533" i="1"/>
  <c r="AA532" i="1"/>
  <c r="AA531" i="1"/>
  <c r="AA530" i="1"/>
  <c r="AA529" i="1"/>
  <c r="AA528" i="1"/>
  <c r="AA527" i="1"/>
  <c r="AA526" i="1"/>
  <c r="AA525" i="1"/>
  <c r="AA524" i="1"/>
  <c r="AA523" i="1"/>
  <c r="AA522" i="1"/>
  <c r="AA521" i="1"/>
  <c r="AA520" i="1"/>
  <c r="AA519" i="1"/>
  <c r="AA518" i="1"/>
  <c r="AA517" i="1"/>
  <c r="AA516" i="1"/>
  <c r="AA515" i="1"/>
  <c r="AA514" i="1"/>
  <c r="AA513" i="1"/>
  <c r="AA512" i="1"/>
  <c r="AA511" i="1"/>
  <c r="AA510" i="1"/>
  <c r="AA509" i="1"/>
  <c r="AA508" i="1"/>
  <c r="AA507" i="1"/>
  <c r="AA506" i="1"/>
  <c r="AA505" i="1"/>
  <c r="AA504" i="1"/>
  <c r="AA503" i="1"/>
  <c r="AA502" i="1"/>
  <c r="AA501" i="1"/>
  <c r="AA500" i="1"/>
  <c r="AA499" i="1"/>
  <c r="AA498" i="1"/>
  <c r="AA497" i="1"/>
  <c r="AA496" i="1"/>
  <c r="AA495" i="1"/>
  <c r="AA494" i="1"/>
  <c r="AA493" i="1"/>
  <c r="AA492" i="1"/>
  <c r="AA491" i="1"/>
  <c r="AA490" i="1"/>
  <c r="AA489" i="1"/>
  <c r="AA488" i="1"/>
  <c r="AA487" i="1"/>
  <c r="AA486" i="1"/>
  <c r="AA485" i="1"/>
  <c r="AA484" i="1"/>
  <c r="AA483" i="1"/>
  <c r="AA482" i="1"/>
  <c r="AA481" i="1"/>
  <c r="AA480" i="1"/>
  <c r="AA479" i="1"/>
  <c r="AA478" i="1"/>
  <c r="AA477" i="1"/>
  <c r="AA476" i="1"/>
  <c r="AA475" i="1"/>
  <c r="AA474" i="1"/>
  <c r="AA473" i="1"/>
  <c r="AA472" i="1"/>
  <c r="AA471" i="1"/>
  <c r="AA470" i="1"/>
  <c r="AA469" i="1"/>
  <c r="AA468" i="1"/>
  <c r="AA467" i="1"/>
  <c r="AA466" i="1"/>
  <c r="AA465" i="1"/>
  <c r="AA464" i="1"/>
  <c r="AA463" i="1"/>
  <c r="AA462" i="1"/>
  <c r="AA461" i="1"/>
  <c r="AA460" i="1"/>
  <c r="AA459" i="1"/>
  <c r="AA458" i="1"/>
  <c r="AA457" i="1"/>
  <c r="AA456" i="1"/>
  <c r="AA455" i="1"/>
  <c r="AA454" i="1"/>
  <c r="AA453" i="1"/>
  <c r="AA452" i="1"/>
  <c r="AA451" i="1"/>
  <c r="AA450" i="1"/>
  <c r="AA449" i="1"/>
  <c r="AA448" i="1"/>
  <c r="AA447" i="1"/>
  <c r="AA446" i="1"/>
  <c r="AA445" i="1"/>
  <c r="AA444" i="1"/>
  <c r="AA443" i="1"/>
  <c r="AA442" i="1"/>
  <c r="AA441" i="1"/>
  <c r="AA440" i="1"/>
  <c r="AA439" i="1"/>
  <c r="AA438" i="1"/>
  <c r="AA437" i="1"/>
  <c r="AA436" i="1"/>
  <c r="AA435" i="1"/>
  <c r="AA434" i="1"/>
  <c r="AA433" i="1"/>
  <c r="AA432" i="1"/>
  <c r="AA431" i="1"/>
  <c r="AA430" i="1"/>
  <c r="AA429" i="1"/>
  <c r="AA428" i="1"/>
  <c r="AA427" i="1"/>
  <c r="AA426" i="1"/>
  <c r="AA425" i="1"/>
  <c r="AA424" i="1"/>
  <c r="AA423" i="1"/>
  <c r="AA422" i="1"/>
  <c r="AA421" i="1"/>
  <c r="AA420" i="1"/>
  <c r="AA419" i="1"/>
  <c r="AA418" i="1"/>
  <c r="AA417" i="1"/>
  <c r="AA416" i="1"/>
  <c r="AA415" i="1"/>
  <c r="AA414" i="1"/>
  <c r="AA413" i="1"/>
  <c r="AA412" i="1"/>
  <c r="AA411" i="1"/>
  <c r="AA410" i="1"/>
  <c r="AA409" i="1"/>
  <c r="AA408" i="1"/>
  <c r="AA407" i="1"/>
  <c r="AA406" i="1"/>
  <c r="AA405" i="1"/>
  <c r="AA404" i="1"/>
  <c r="AA403" i="1"/>
  <c r="AA402" i="1"/>
  <c r="AA401" i="1"/>
  <c r="AA400" i="1"/>
  <c r="AA399" i="1"/>
  <c r="AA398" i="1"/>
  <c r="AA397" i="1"/>
  <c r="AA396" i="1"/>
  <c r="AA395" i="1"/>
  <c r="AA394" i="1"/>
  <c r="AA393" i="1"/>
  <c r="AA392" i="1"/>
  <c r="AA391" i="1"/>
  <c r="AA390" i="1"/>
  <c r="AA389" i="1"/>
  <c r="AA388" i="1"/>
  <c r="AA387" i="1"/>
  <c r="AA386" i="1"/>
  <c r="AA385" i="1"/>
  <c r="AA384" i="1"/>
  <c r="AA383" i="1"/>
  <c r="AA382" i="1"/>
  <c r="AA381" i="1"/>
  <c r="AA380" i="1"/>
  <c r="AA379" i="1"/>
  <c r="AA378" i="1"/>
  <c r="AA377" i="1"/>
  <c r="AA376" i="1"/>
  <c r="AA375" i="1"/>
  <c r="AA374" i="1"/>
  <c r="AA373" i="1"/>
  <c r="AA372" i="1"/>
  <c r="AA371" i="1"/>
  <c r="AA370" i="1"/>
  <c r="AA369" i="1"/>
  <c r="AA368" i="1"/>
  <c r="AA367" i="1"/>
  <c r="AA366" i="1"/>
  <c r="AA365" i="1"/>
  <c r="AA364" i="1"/>
  <c r="AA363" i="1"/>
  <c r="AA362" i="1"/>
  <c r="AA361" i="1"/>
  <c r="AA360" i="1"/>
  <c r="AA359" i="1"/>
  <c r="AA358" i="1"/>
  <c r="AA357" i="1"/>
  <c r="AA356" i="1"/>
  <c r="AA355" i="1"/>
  <c r="AA354" i="1"/>
  <c r="AA353" i="1"/>
  <c r="AA352" i="1"/>
  <c r="AA351" i="1"/>
  <c r="AA350" i="1"/>
  <c r="AA349" i="1"/>
  <c r="AA348" i="1"/>
  <c r="AA347" i="1"/>
  <c r="AA346" i="1"/>
  <c r="AA345" i="1"/>
  <c r="AA344" i="1"/>
  <c r="AA343" i="1"/>
  <c r="AA342" i="1"/>
  <c r="AA341" i="1"/>
  <c r="AA340" i="1"/>
  <c r="AA339" i="1"/>
  <c r="AA338" i="1"/>
  <c r="AA337" i="1"/>
  <c r="AA336" i="1"/>
  <c r="AA335" i="1"/>
  <c r="AA334" i="1"/>
  <c r="AA333" i="1"/>
  <c r="AA332" i="1"/>
  <c r="AA331" i="1"/>
  <c r="AA330" i="1"/>
  <c r="AA329" i="1"/>
  <c r="AA328" i="1"/>
  <c r="AA327" i="1"/>
  <c r="AA326" i="1"/>
  <c r="AA325" i="1"/>
  <c r="AA324" i="1"/>
  <c r="AA323" i="1"/>
  <c r="AA322" i="1"/>
  <c r="AA321" i="1"/>
  <c r="AA320" i="1"/>
  <c r="AA319" i="1"/>
  <c r="AA318" i="1"/>
  <c r="AA317" i="1"/>
  <c r="AA316" i="1"/>
  <c r="AA315" i="1"/>
  <c r="AA314" i="1"/>
  <c r="AA313" i="1"/>
  <c r="AA312" i="1"/>
  <c r="AA311" i="1"/>
  <c r="AA310" i="1"/>
  <c r="AA309" i="1"/>
  <c r="AA308" i="1"/>
  <c r="AA307" i="1"/>
  <c r="AA306" i="1"/>
  <c r="AA305" i="1"/>
  <c r="AA304" i="1"/>
  <c r="AA303" i="1"/>
  <c r="AA302" i="1"/>
  <c r="AA301" i="1"/>
  <c r="AA300" i="1"/>
  <c r="AA299" i="1"/>
  <c r="AA298" i="1"/>
  <c r="AA297" i="1"/>
  <c r="AA296" i="1"/>
  <c r="AA295" i="1"/>
  <c r="AA294" i="1"/>
  <c r="AA293" i="1"/>
  <c r="AA292" i="1"/>
  <c r="AA291" i="1"/>
  <c r="AA290" i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G677" i="1"/>
  <c r="F677" i="1" l="1"/>
  <c r="G677" i="1"/>
  <c r="AA677" i="1"/>
  <c r="E264" i="1" l="1"/>
  <c r="E672" i="1"/>
  <c r="E671" i="1"/>
  <c r="E669" i="1"/>
  <c r="E663" i="1"/>
  <c r="E661" i="1"/>
  <c r="E655" i="1"/>
  <c r="E653" i="1"/>
  <c r="E647" i="1"/>
  <c r="E646" i="1"/>
  <c r="E645" i="1"/>
  <c r="E644" i="1"/>
  <c r="E640" i="1"/>
  <c r="E639" i="1"/>
  <c r="E637" i="1"/>
  <c r="E636" i="1"/>
  <c r="E632" i="1"/>
  <c r="E631" i="1"/>
  <c r="E629" i="1"/>
  <c r="E628" i="1"/>
  <c r="E624" i="1"/>
  <c r="E621" i="1"/>
  <c r="E620" i="1"/>
  <c r="E613" i="1"/>
  <c r="E612" i="1"/>
  <c r="E608" i="1"/>
  <c r="E607" i="1"/>
  <c r="E605" i="1"/>
  <c r="E604" i="1"/>
  <c r="E600" i="1"/>
  <c r="E599" i="1"/>
  <c r="E597" i="1"/>
  <c r="E596" i="1"/>
  <c r="E592" i="1"/>
  <c r="E589" i="1"/>
  <c r="E588" i="1"/>
  <c r="E581" i="1"/>
  <c r="E576" i="1"/>
  <c r="E575" i="1"/>
  <c r="E573" i="1"/>
  <c r="E568" i="1"/>
  <c r="E567" i="1"/>
  <c r="E565" i="1"/>
  <c r="E562" i="1"/>
  <c r="E560" i="1"/>
  <c r="E559" i="1"/>
  <c r="E557" i="1"/>
  <c r="E552" i="1"/>
  <c r="E549" i="1"/>
  <c r="E543" i="1"/>
  <c r="E541" i="1"/>
  <c r="E533" i="1"/>
  <c r="E528" i="1"/>
  <c r="E527" i="1"/>
  <c r="E525" i="1"/>
  <c r="E520" i="1"/>
  <c r="E519" i="1"/>
  <c r="E517" i="1"/>
  <c r="E512" i="1"/>
  <c r="E511" i="1"/>
  <c r="E509" i="1"/>
  <c r="E504" i="1"/>
  <c r="E503" i="1"/>
  <c r="E501" i="1"/>
  <c r="E496" i="1"/>
  <c r="E495" i="1"/>
  <c r="E493" i="1"/>
  <c r="E488" i="1"/>
  <c r="E487" i="1"/>
  <c r="E485" i="1"/>
  <c r="E480" i="1"/>
  <c r="E479" i="1"/>
  <c r="E477" i="1"/>
  <c r="E472" i="1"/>
  <c r="E471" i="1"/>
  <c r="E469" i="1"/>
  <c r="E464" i="1"/>
  <c r="E463" i="1"/>
  <c r="E461" i="1"/>
  <c r="E456" i="1"/>
  <c r="E455" i="1"/>
  <c r="E453" i="1"/>
  <c r="E448" i="1"/>
  <c r="E447" i="1"/>
  <c r="E445" i="1"/>
  <c r="E440" i="1"/>
  <c r="E439" i="1"/>
  <c r="E437" i="1"/>
  <c r="E432" i="1"/>
  <c r="E431" i="1"/>
  <c r="E429" i="1"/>
  <c r="E424" i="1"/>
  <c r="E423" i="1"/>
  <c r="E421" i="1"/>
  <c r="E415" i="1"/>
  <c r="E413" i="1"/>
  <c r="E408" i="1"/>
  <c r="E405" i="1"/>
  <c r="E399" i="1"/>
  <c r="E398" i="1"/>
  <c r="E397" i="1"/>
  <c r="E392" i="1"/>
  <c r="E391" i="1"/>
  <c r="E390" i="1"/>
  <c r="E389" i="1"/>
  <c r="E384" i="1"/>
  <c r="E383" i="1"/>
  <c r="E382" i="1"/>
  <c r="E381" i="1"/>
  <c r="E376" i="1"/>
  <c r="E374" i="1"/>
  <c r="E373" i="1"/>
  <c r="E372" i="1"/>
  <c r="E368" i="1"/>
  <c r="E367" i="1"/>
  <c r="E366" i="1"/>
  <c r="E365" i="1"/>
  <c r="E364" i="1"/>
  <c r="E360" i="1"/>
  <c r="E359" i="1"/>
  <c r="E357" i="1"/>
  <c r="E356" i="1"/>
  <c r="E352" i="1"/>
  <c r="E349" i="1"/>
  <c r="E348" i="1"/>
  <c r="E341" i="1"/>
  <c r="E340" i="1"/>
  <c r="E336" i="1"/>
  <c r="E335" i="1"/>
  <c r="E333" i="1"/>
  <c r="E332" i="1"/>
  <c r="E328" i="1"/>
  <c r="E327" i="1"/>
  <c r="E325" i="1"/>
  <c r="E324" i="1"/>
  <c r="E320" i="1"/>
  <c r="E317" i="1"/>
  <c r="E316" i="1"/>
  <c r="E309" i="1"/>
  <c r="E308" i="1"/>
  <c r="E304" i="1"/>
  <c r="E303" i="1"/>
  <c r="E301" i="1"/>
  <c r="E300" i="1"/>
  <c r="E296" i="1"/>
  <c r="E295" i="1"/>
  <c r="E293" i="1"/>
  <c r="E292" i="1"/>
  <c r="E288" i="1"/>
  <c r="E287" i="1"/>
  <c r="E285" i="1"/>
  <c r="E284" i="1"/>
  <c r="E280" i="1"/>
  <c r="E279" i="1"/>
  <c r="E277" i="1"/>
  <c r="E276" i="1"/>
  <c r="E275" i="1"/>
  <c r="E272" i="1"/>
  <c r="E271" i="1"/>
  <c r="E269" i="1"/>
  <c r="E268" i="1"/>
  <c r="E263" i="1"/>
  <c r="E260" i="1"/>
  <c r="E259" i="1"/>
  <c r="E252" i="1"/>
  <c r="E251" i="1"/>
  <c r="E244" i="1"/>
  <c r="E243" i="1"/>
  <c r="E236" i="1"/>
  <c r="E228" i="1"/>
  <c r="E227" i="1"/>
  <c r="E220" i="1"/>
  <c r="E219" i="1"/>
  <c r="E212" i="1"/>
  <c r="E210" i="1"/>
  <c r="E204" i="1"/>
  <c r="E203" i="1"/>
  <c r="E196" i="1"/>
  <c r="E195" i="1"/>
  <c r="E193" i="1"/>
  <c r="E188" i="1"/>
  <c r="E180" i="1"/>
  <c r="E179" i="1"/>
  <c r="E172" i="1"/>
  <c r="E171" i="1"/>
  <c r="E170" i="1"/>
  <c r="E164" i="1"/>
  <c r="E163" i="1"/>
  <c r="E156" i="1"/>
  <c r="E154" i="1"/>
  <c r="E148" i="1"/>
  <c r="E146" i="1"/>
  <c r="E145" i="1"/>
  <c r="E140" i="1"/>
  <c r="E138" i="1"/>
  <c r="E132" i="1"/>
  <c r="E124" i="1"/>
  <c r="E122" i="1"/>
  <c r="E116" i="1"/>
  <c r="E114" i="1"/>
  <c r="E113" i="1"/>
  <c r="E108" i="1"/>
  <c r="E107" i="1"/>
  <c r="E106" i="1"/>
  <c r="E100" i="1"/>
  <c r="E98" i="1"/>
  <c r="E92" i="1"/>
  <c r="E84" i="1"/>
  <c r="E82" i="1"/>
  <c r="E81" i="1"/>
  <c r="E76" i="1"/>
  <c r="E75" i="1"/>
  <c r="E74" i="1"/>
  <c r="E68" i="1"/>
  <c r="E60" i="1"/>
  <c r="E58" i="1"/>
  <c r="E52" i="1"/>
  <c r="E50" i="1"/>
  <c r="E44" i="1"/>
  <c r="E42" i="1"/>
  <c r="E41" i="1"/>
  <c r="E36" i="1"/>
  <c r="E35" i="1"/>
  <c r="E34" i="1"/>
  <c r="E28" i="1"/>
  <c r="E20" i="1"/>
  <c r="E19" i="1"/>
  <c r="E18" i="1"/>
  <c r="E12" i="1"/>
  <c r="E11" i="1"/>
  <c r="E10" i="1"/>
  <c r="E9" i="1"/>
  <c r="E676" i="1"/>
  <c r="E675" i="1"/>
  <c r="E674" i="1"/>
  <c r="E673" i="1"/>
  <c r="E670" i="1"/>
  <c r="E668" i="1"/>
  <c r="E667" i="1"/>
  <c r="E666" i="1"/>
  <c r="E665" i="1"/>
  <c r="E664" i="1"/>
  <c r="E662" i="1"/>
  <c r="E660" i="1"/>
  <c r="E659" i="1"/>
  <c r="E658" i="1"/>
  <c r="E657" i="1"/>
  <c r="E656" i="1"/>
  <c r="E654" i="1"/>
  <c r="E652" i="1"/>
  <c r="E651" i="1"/>
  <c r="E650" i="1"/>
  <c r="E649" i="1"/>
  <c r="E648" i="1"/>
  <c r="E643" i="1"/>
  <c r="E642" i="1"/>
  <c r="E641" i="1"/>
  <c r="E638" i="1"/>
  <c r="E635" i="1"/>
  <c r="E634" i="1"/>
  <c r="E633" i="1"/>
  <c r="E630" i="1"/>
  <c r="E627" i="1"/>
  <c r="E626" i="1"/>
  <c r="E625" i="1"/>
  <c r="E623" i="1"/>
  <c r="E622" i="1"/>
  <c r="E619" i="1"/>
  <c r="E618" i="1"/>
  <c r="E617" i="1"/>
  <c r="E616" i="1"/>
  <c r="E615" i="1"/>
  <c r="E614" i="1"/>
  <c r="E611" i="1"/>
  <c r="E610" i="1"/>
  <c r="E609" i="1"/>
  <c r="E606" i="1"/>
  <c r="E603" i="1"/>
  <c r="E602" i="1"/>
  <c r="E601" i="1"/>
  <c r="E598" i="1"/>
  <c r="E595" i="1"/>
  <c r="E594" i="1"/>
  <c r="E593" i="1"/>
  <c r="E591" i="1"/>
  <c r="E590" i="1"/>
  <c r="E587" i="1"/>
  <c r="E586" i="1"/>
  <c r="E585" i="1"/>
  <c r="E584" i="1"/>
  <c r="E583" i="1"/>
  <c r="E582" i="1"/>
  <c r="E580" i="1"/>
  <c r="E579" i="1"/>
  <c r="E578" i="1"/>
  <c r="E577" i="1"/>
  <c r="E574" i="1"/>
  <c r="E572" i="1"/>
  <c r="E571" i="1"/>
  <c r="E570" i="1"/>
  <c r="E569" i="1"/>
  <c r="E566" i="1"/>
  <c r="E564" i="1"/>
  <c r="E563" i="1"/>
  <c r="E561" i="1"/>
  <c r="E558" i="1"/>
  <c r="E556" i="1"/>
  <c r="E555" i="1"/>
  <c r="E554" i="1"/>
  <c r="E553" i="1"/>
  <c r="E551" i="1"/>
  <c r="E550" i="1"/>
  <c r="E548" i="1"/>
  <c r="E547" i="1"/>
  <c r="E546" i="1"/>
  <c r="E545" i="1"/>
  <c r="E544" i="1"/>
  <c r="E542" i="1"/>
  <c r="E540" i="1"/>
  <c r="E539" i="1"/>
  <c r="E538" i="1"/>
  <c r="E537" i="1"/>
  <c r="E536" i="1"/>
  <c r="E535" i="1"/>
  <c r="E534" i="1"/>
  <c r="E532" i="1"/>
  <c r="E531" i="1"/>
  <c r="E530" i="1"/>
  <c r="E529" i="1"/>
  <c r="E526" i="1"/>
  <c r="E524" i="1"/>
  <c r="E523" i="1"/>
  <c r="E522" i="1"/>
  <c r="E521" i="1"/>
  <c r="E518" i="1"/>
  <c r="E516" i="1"/>
  <c r="E515" i="1"/>
  <c r="E514" i="1"/>
  <c r="E513" i="1"/>
  <c r="E510" i="1"/>
  <c r="E508" i="1"/>
  <c r="E507" i="1"/>
  <c r="E506" i="1"/>
  <c r="E505" i="1"/>
  <c r="E502" i="1"/>
  <c r="E500" i="1"/>
  <c r="E499" i="1"/>
  <c r="E498" i="1"/>
  <c r="E497" i="1"/>
  <c r="E494" i="1"/>
  <c r="E492" i="1"/>
  <c r="E491" i="1"/>
  <c r="E490" i="1"/>
  <c r="E489" i="1"/>
  <c r="E486" i="1"/>
  <c r="E484" i="1"/>
  <c r="E483" i="1"/>
  <c r="E482" i="1"/>
  <c r="E481" i="1"/>
  <c r="E478" i="1"/>
  <c r="E476" i="1"/>
  <c r="E475" i="1"/>
  <c r="E474" i="1"/>
  <c r="E473" i="1"/>
  <c r="E470" i="1"/>
  <c r="E468" i="1"/>
  <c r="E467" i="1"/>
  <c r="E466" i="1"/>
  <c r="E465" i="1"/>
  <c r="E462" i="1"/>
  <c r="E460" i="1"/>
  <c r="E459" i="1"/>
  <c r="E458" i="1"/>
  <c r="E457" i="1"/>
  <c r="E454" i="1"/>
  <c r="E452" i="1"/>
  <c r="E451" i="1"/>
  <c r="E450" i="1"/>
  <c r="E449" i="1"/>
  <c r="E446" i="1"/>
  <c r="E444" i="1"/>
  <c r="E443" i="1"/>
  <c r="E442" i="1"/>
  <c r="E441" i="1"/>
  <c r="E438" i="1"/>
  <c r="E436" i="1"/>
  <c r="E435" i="1"/>
  <c r="E434" i="1"/>
  <c r="E433" i="1"/>
  <c r="E430" i="1"/>
  <c r="E428" i="1"/>
  <c r="E427" i="1"/>
  <c r="E426" i="1"/>
  <c r="E425" i="1"/>
  <c r="E422" i="1"/>
  <c r="E420" i="1"/>
  <c r="E419" i="1"/>
  <c r="E418" i="1"/>
  <c r="E417" i="1"/>
  <c r="E416" i="1"/>
  <c r="E414" i="1"/>
  <c r="E412" i="1"/>
  <c r="E411" i="1"/>
  <c r="E410" i="1"/>
  <c r="E409" i="1"/>
  <c r="E407" i="1"/>
  <c r="E406" i="1"/>
  <c r="E404" i="1"/>
  <c r="E403" i="1"/>
  <c r="E402" i="1"/>
  <c r="E401" i="1"/>
  <c r="E400" i="1"/>
  <c r="E396" i="1"/>
  <c r="E395" i="1"/>
  <c r="E394" i="1"/>
  <c r="E393" i="1"/>
  <c r="E388" i="1"/>
  <c r="E387" i="1"/>
  <c r="E386" i="1"/>
  <c r="E385" i="1"/>
  <c r="E380" i="1"/>
  <c r="E379" i="1"/>
  <c r="E378" i="1"/>
  <c r="E377" i="1"/>
  <c r="E375" i="1"/>
  <c r="E371" i="1"/>
  <c r="E370" i="1"/>
  <c r="E369" i="1"/>
  <c r="E363" i="1"/>
  <c r="E362" i="1"/>
  <c r="E361" i="1"/>
  <c r="E358" i="1"/>
  <c r="E355" i="1"/>
  <c r="E354" i="1"/>
  <c r="E353" i="1"/>
  <c r="E351" i="1"/>
  <c r="E350" i="1"/>
  <c r="E347" i="1"/>
  <c r="E346" i="1"/>
  <c r="E345" i="1"/>
  <c r="E344" i="1"/>
  <c r="E343" i="1"/>
  <c r="E342" i="1"/>
  <c r="E339" i="1"/>
  <c r="E338" i="1"/>
  <c r="E337" i="1"/>
  <c r="E334" i="1"/>
  <c r="E331" i="1"/>
  <c r="E330" i="1"/>
  <c r="E329" i="1"/>
  <c r="E326" i="1"/>
  <c r="E323" i="1"/>
  <c r="E322" i="1"/>
  <c r="E321" i="1"/>
  <c r="E319" i="1"/>
  <c r="E318" i="1"/>
  <c r="E315" i="1"/>
  <c r="E314" i="1"/>
  <c r="E313" i="1"/>
  <c r="E312" i="1"/>
  <c r="E311" i="1"/>
  <c r="E310" i="1"/>
  <c r="E307" i="1"/>
  <c r="E306" i="1"/>
  <c r="E305" i="1"/>
  <c r="E302" i="1"/>
  <c r="E299" i="1"/>
  <c r="E298" i="1"/>
  <c r="E297" i="1"/>
  <c r="E294" i="1"/>
  <c r="E291" i="1"/>
  <c r="E290" i="1"/>
  <c r="E289" i="1"/>
  <c r="E286" i="1"/>
  <c r="E283" i="1"/>
  <c r="E282" i="1"/>
  <c r="E281" i="1"/>
  <c r="E278" i="1"/>
  <c r="E274" i="1"/>
  <c r="E273" i="1"/>
  <c r="E270" i="1"/>
  <c r="E267" i="1"/>
  <c r="E266" i="1"/>
  <c r="E265" i="1"/>
  <c r="E261" i="1"/>
  <c r="E258" i="1"/>
  <c r="E257" i="1"/>
  <c r="E250" i="1"/>
  <c r="E249" i="1"/>
  <c r="E242" i="1"/>
  <c r="E241" i="1"/>
  <c r="E235" i="1"/>
  <c r="E234" i="1"/>
  <c r="E233" i="1"/>
  <c r="E226" i="1"/>
  <c r="E225" i="1"/>
  <c r="E218" i="1"/>
  <c r="E217" i="1"/>
  <c r="E211" i="1"/>
  <c r="E209" i="1"/>
  <c r="E202" i="1"/>
  <c r="E201" i="1"/>
  <c r="E200" i="1"/>
  <c r="E194" i="1"/>
  <c r="E187" i="1"/>
  <c r="E186" i="1"/>
  <c r="E185" i="1"/>
  <c r="E178" i="1"/>
  <c r="E177" i="1"/>
  <c r="E169" i="1"/>
  <c r="E162" i="1"/>
  <c r="E161" i="1"/>
  <c r="E155" i="1"/>
  <c r="E153" i="1"/>
  <c r="E147" i="1"/>
  <c r="E139" i="1"/>
  <c r="E137" i="1"/>
  <c r="E130" i="1"/>
  <c r="E129" i="1"/>
  <c r="E123" i="1"/>
  <c r="E121" i="1"/>
  <c r="E105" i="1"/>
  <c r="E99" i="1"/>
  <c r="E91" i="1"/>
  <c r="E90" i="1"/>
  <c r="E89" i="1"/>
  <c r="E83" i="1"/>
  <c r="E80" i="1"/>
  <c r="E73" i="1"/>
  <c r="E67" i="1"/>
  <c r="E66" i="1"/>
  <c r="E65" i="1"/>
  <c r="E59" i="1"/>
  <c r="E57" i="1"/>
  <c r="E51" i="1"/>
  <c r="E49" i="1"/>
  <c r="E48" i="1"/>
  <c r="E43" i="1"/>
  <c r="E33" i="1"/>
  <c r="E27" i="1"/>
  <c r="E26" i="1"/>
  <c r="E25" i="1"/>
  <c r="E17" i="1"/>
  <c r="E16" i="1"/>
  <c r="E173" i="1" l="1"/>
  <c r="E181" i="1"/>
  <c r="E197" i="1"/>
  <c r="E205" i="1"/>
  <c r="E221" i="1"/>
  <c r="E245" i="1"/>
  <c r="E8" i="1"/>
  <c r="E24" i="1"/>
  <c r="E32" i="1"/>
  <c r="E40" i="1"/>
  <c r="E56" i="1"/>
  <c r="E64" i="1"/>
  <c r="E72" i="1"/>
  <c r="E88" i="1"/>
  <c r="E13" i="1"/>
  <c r="E37" i="1"/>
  <c r="E61" i="1"/>
  <c r="E77" i="1"/>
  <c r="E125" i="1"/>
  <c r="E189" i="1"/>
  <c r="E213" i="1"/>
  <c r="E229" i="1"/>
  <c r="E237" i="1"/>
  <c r="E253" i="1"/>
  <c r="E104" i="1"/>
  <c r="E136" i="1"/>
  <c r="E168" i="1"/>
  <c r="E232" i="1"/>
  <c r="E115" i="1"/>
  <c r="E131" i="1"/>
  <c r="E262" i="1"/>
  <c r="E176" i="1"/>
  <c r="E184" i="1"/>
  <c r="E192" i="1"/>
  <c r="E208" i="1"/>
  <c r="E216" i="1"/>
  <c r="E224" i="1"/>
  <c r="E240" i="1"/>
  <c r="E248" i="1"/>
  <c r="E256" i="1"/>
  <c r="E101" i="1"/>
  <c r="E149" i="1"/>
  <c r="E96" i="1"/>
  <c r="E112" i="1"/>
  <c r="E120" i="1"/>
  <c r="E128" i="1"/>
  <c r="E144" i="1"/>
  <c r="E152" i="1"/>
  <c r="E160" i="1"/>
  <c r="E85" i="1"/>
  <c r="E21" i="1"/>
  <c r="E7" i="1"/>
  <c r="E5" i="1"/>
  <c r="E29" i="1"/>
  <c r="E45" i="1"/>
  <c r="E69" i="1"/>
  <c r="E117" i="1"/>
  <c r="E141" i="1"/>
  <c r="E109" i="1"/>
  <c r="E53" i="1"/>
  <c r="E157" i="1"/>
  <c r="E133" i="1"/>
  <c r="E93" i="1"/>
  <c r="E165" i="1"/>
  <c r="E6" i="1"/>
  <c r="E97" i="1"/>
  <c r="E23" i="1"/>
  <c r="E71" i="1"/>
  <c r="E119" i="1"/>
  <c r="E159" i="1"/>
  <c r="E199" i="1"/>
  <c r="E239" i="1"/>
  <c r="E14" i="1"/>
  <c r="E22" i="1"/>
  <c r="E30" i="1"/>
  <c r="E38" i="1"/>
  <c r="E46" i="1"/>
  <c r="E54" i="1"/>
  <c r="E62" i="1"/>
  <c r="E70" i="1"/>
  <c r="E78" i="1"/>
  <c r="E86" i="1"/>
  <c r="E94" i="1"/>
  <c r="E102" i="1"/>
  <c r="E110" i="1"/>
  <c r="E118" i="1"/>
  <c r="E126" i="1"/>
  <c r="E134" i="1"/>
  <c r="E142" i="1"/>
  <c r="E150" i="1"/>
  <c r="E158" i="1"/>
  <c r="E166" i="1"/>
  <c r="E174" i="1"/>
  <c r="E182" i="1"/>
  <c r="E190" i="1"/>
  <c r="E198" i="1"/>
  <c r="E206" i="1"/>
  <c r="E214" i="1"/>
  <c r="E222" i="1"/>
  <c r="E230" i="1"/>
  <c r="E238" i="1"/>
  <c r="E246" i="1"/>
  <c r="E254" i="1"/>
  <c r="E63" i="1"/>
  <c r="E87" i="1"/>
  <c r="E127" i="1"/>
  <c r="E175" i="1"/>
  <c r="E207" i="1"/>
  <c r="E255" i="1"/>
  <c r="E15" i="1"/>
  <c r="E79" i="1"/>
  <c r="E111" i="1"/>
  <c r="E167" i="1"/>
  <c r="E191" i="1"/>
  <c r="E231" i="1"/>
  <c r="E47" i="1"/>
  <c r="E143" i="1"/>
  <c r="E247" i="1"/>
  <c r="E55" i="1"/>
  <c r="E103" i="1"/>
  <c r="E151" i="1"/>
  <c r="E215" i="1"/>
  <c r="E31" i="1"/>
  <c r="E95" i="1"/>
  <c r="E135" i="1"/>
  <c r="E183" i="1"/>
  <c r="E223" i="1"/>
  <c r="E39" i="1"/>
  <c r="U169" i="1" l="1"/>
  <c r="H169" i="1"/>
  <c r="H368" i="1" l="1"/>
  <c r="H324" i="1" l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E4" i="1" l="1"/>
  <c r="T677" i="1" l="1"/>
  <c r="H9" i="2"/>
  <c r="B9" i="2"/>
  <c r="C9" i="2"/>
  <c r="U676" i="1"/>
  <c r="H676" i="1"/>
  <c r="U675" i="1"/>
  <c r="U674" i="1"/>
  <c r="U673" i="1"/>
  <c r="U672" i="1"/>
  <c r="U671" i="1"/>
  <c r="U670" i="1"/>
  <c r="U669" i="1"/>
  <c r="U668" i="1"/>
  <c r="U667" i="1"/>
  <c r="U666" i="1"/>
  <c r="U665" i="1"/>
  <c r="U664" i="1"/>
  <c r="U663" i="1"/>
  <c r="U662" i="1"/>
  <c r="U661" i="1"/>
  <c r="H661" i="1"/>
  <c r="U660" i="1"/>
  <c r="U659" i="1"/>
  <c r="U658" i="1"/>
  <c r="H658" i="1"/>
  <c r="U657" i="1"/>
  <c r="U656" i="1"/>
  <c r="U655" i="1"/>
  <c r="H655" i="1"/>
  <c r="U654" i="1"/>
  <c r="U653" i="1"/>
  <c r="H653" i="1"/>
  <c r="U652" i="1"/>
  <c r="U651" i="1"/>
  <c r="U650" i="1"/>
  <c r="U649" i="1"/>
  <c r="H649" i="1"/>
  <c r="U648" i="1"/>
  <c r="H648" i="1"/>
  <c r="U647" i="1"/>
  <c r="U646" i="1"/>
  <c r="U645" i="1"/>
  <c r="U644" i="1"/>
  <c r="U643" i="1"/>
  <c r="U642" i="1"/>
  <c r="U641" i="1"/>
  <c r="U640" i="1"/>
  <c r="U639" i="1"/>
  <c r="U638" i="1"/>
  <c r="U637" i="1"/>
  <c r="U636" i="1"/>
  <c r="U635" i="1"/>
  <c r="U634" i="1"/>
  <c r="H634" i="1"/>
  <c r="U633" i="1"/>
  <c r="U632" i="1"/>
  <c r="U631" i="1"/>
  <c r="U630" i="1"/>
  <c r="U629" i="1"/>
  <c r="U628" i="1"/>
  <c r="U627" i="1"/>
  <c r="U626" i="1"/>
  <c r="U625" i="1"/>
  <c r="U624" i="1"/>
  <c r="H624" i="1"/>
  <c r="U623" i="1"/>
  <c r="H623" i="1"/>
  <c r="U622" i="1"/>
  <c r="U621" i="1"/>
  <c r="U620" i="1"/>
  <c r="U619" i="1"/>
  <c r="U618" i="1"/>
  <c r="U617" i="1"/>
  <c r="U616" i="1"/>
  <c r="U615" i="1"/>
  <c r="U614" i="1"/>
  <c r="H614" i="1"/>
  <c r="U613" i="1"/>
  <c r="U612" i="1"/>
  <c r="U611" i="1"/>
  <c r="U610" i="1"/>
  <c r="U609" i="1"/>
  <c r="U608" i="1"/>
  <c r="U607" i="1"/>
  <c r="U606" i="1"/>
  <c r="U605" i="1"/>
  <c r="U604" i="1"/>
  <c r="U603" i="1"/>
  <c r="U602" i="1"/>
  <c r="U601" i="1"/>
  <c r="U600" i="1"/>
  <c r="U599" i="1"/>
  <c r="U598" i="1"/>
  <c r="U597" i="1"/>
  <c r="H597" i="1"/>
  <c r="U596" i="1"/>
  <c r="U595" i="1"/>
  <c r="U594" i="1"/>
  <c r="U593" i="1"/>
  <c r="H593" i="1"/>
  <c r="U592" i="1"/>
  <c r="U591" i="1"/>
  <c r="U590" i="1"/>
  <c r="U589" i="1"/>
  <c r="U588" i="1"/>
  <c r="U587" i="1"/>
  <c r="U586" i="1"/>
  <c r="U585" i="1"/>
  <c r="U584" i="1"/>
  <c r="U583" i="1"/>
  <c r="U582" i="1"/>
  <c r="U581" i="1"/>
  <c r="U580" i="1"/>
  <c r="U579" i="1"/>
  <c r="U578" i="1"/>
  <c r="U577" i="1"/>
  <c r="U576" i="1"/>
  <c r="U575" i="1"/>
  <c r="H575" i="1"/>
  <c r="U574" i="1"/>
  <c r="U573" i="1"/>
  <c r="U572" i="1"/>
  <c r="U571" i="1"/>
  <c r="H571" i="1"/>
  <c r="U570" i="1"/>
  <c r="U569" i="1"/>
  <c r="U568" i="1"/>
  <c r="U567" i="1"/>
  <c r="U566" i="1"/>
  <c r="U565" i="1"/>
  <c r="U564" i="1"/>
  <c r="U563" i="1"/>
  <c r="U562" i="1"/>
  <c r="H562" i="1"/>
  <c r="U561" i="1"/>
  <c r="U560" i="1"/>
  <c r="U559" i="1"/>
  <c r="U558" i="1"/>
  <c r="H558" i="1"/>
  <c r="U557" i="1"/>
  <c r="U556" i="1"/>
  <c r="U555" i="1"/>
  <c r="U554" i="1"/>
  <c r="U553" i="1"/>
  <c r="U552" i="1"/>
  <c r="U551" i="1"/>
  <c r="U550" i="1"/>
  <c r="U549" i="1"/>
  <c r="U548" i="1"/>
  <c r="U547" i="1"/>
  <c r="U546" i="1"/>
  <c r="U545" i="1"/>
  <c r="U544" i="1"/>
  <c r="U543" i="1"/>
  <c r="U542" i="1"/>
  <c r="U541" i="1"/>
  <c r="H541" i="1"/>
  <c r="U540" i="1"/>
  <c r="U539" i="1"/>
  <c r="U538" i="1"/>
  <c r="U537" i="1"/>
  <c r="U536" i="1"/>
  <c r="H536" i="1"/>
  <c r="U535" i="1"/>
  <c r="U534" i="1"/>
  <c r="H534" i="1"/>
  <c r="U533" i="1"/>
  <c r="U532" i="1"/>
  <c r="U531" i="1"/>
  <c r="U530" i="1"/>
  <c r="U529" i="1"/>
  <c r="U528" i="1"/>
  <c r="H528" i="1"/>
  <c r="U527" i="1"/>
  <c r="U526" i="1"/>
  <c r="U525" i="1"/>
  <c r="U524" i="1"/>
  <c r="U523" i="1"/>
  <c r="H523" i="1"/>
  <c r="U522" i="1"/>
  <c r="U521" i="1"/>
  <c r="U520" i="1"/>
  <c r="U519" i="1"/>
  <c r="U518" i="1"/>
  <c r="U517" i="1"/>
  <c r="H517" i="1"/>
  <c r="U516" i="1"/>
  <c r="U515" i="1"/>
  <c r="U514" i="1"/>
  <c r="H514" i="1"/>
  <c r="U513" i="1"/>
  <c r="U512" i="1"/>
  <c r="U511" i="1"/>
  <c r="U510" i="1"/>
  <c r="U509" i="1"/>
  <c r="U508" i="1"/>
  <c r="U507" i="1"/>
  <c r="U506" i="1"/>
  <c r="U505" i="1"/>
  <c r="U504" i="1"/>
  <c r="U503" i="1"/>
  <c r="U502" i="1"/>
  <c r="U501" i="1"/>
  <c r="U500" i="1"/>
  <c r="U499" i="1"/>
  <c r="U498" i="1"/>
  <c r="U497" i="1"/>
  <c r="U496" i="1"/>
  <c r="U495" i="1"/>
  <c r="U494" i="1"/>
  <c r="H494" i="1"/>
  <c r="U493" i="1"/>
  <c r="U492" i="1"/>
  <c r="U491" i="1"/>
  <c r="U490" i="1"/>
  <c r="U489" i="1"/>
  <c r="U488" i="1"/>
  <c r="U487" i="1"/>
  <c r="U486" i="1"/>
  <c r="H486" i="1"/>
  <c r="U485" i="1"/>
  <c r="U484" i="1"/>
  <c r="U483" i="1"/>
  <c r="U482" i="1"/>
  <c r="H482" i="1"/>
  <c r="U481" i="1"/>
  <c r="U480" i="1"/>
  <c r="U479" i="1"/>
  <c r="U478" i="1"/>
  <c r="U477" i="1"/>
  <c r="U476" i="1"/>
  <c r="H476" i="1"/>
  <c r="U475" i="1"/>
  <c r="U474" i="1"/>
  <c r="U473" i="1"/>
  <c r="U472" i="1"/>
  <c r="U471" i="1"/>
  <c r="U470" i="1"/>
  <c r="U469" i="1"/>
  <c r="U468" i="1"/>
  <c r="U467" i="1"/>
  <c r="U466" i="1"/>
  <c r="H466" i="1"/>
  <c r="U465" i="1"/>
  <c r="U464" i="1"/>
  <c r="U463" i="1"/>
  <c r="U462" i="1"/>
  <c r="U461" i="1"/>
  <c r="U460" i="1"/>
  <c r="U459" i="1"/>
  <c r="U458" i="1"/>
  <c r="H458" i="1"/>
  <c r="U457" i="1"/>
  <c r="U456" i="1"/>
  <c r="U455" i="1"/>
  <c r="U454" i="1"/>
  <c r="U453" i="1"/>
  <c r="U452" i="1"/>
  <c r="U451" i="1"/>
  <c r="U450" i="1"/>
  <c r="U449" i="1"/>
  <c r="H449" i="1"/>
  <c r="U448" i="1"/>
  <c r="U447" i="1"/>
  <c r="U446" i="1"/>
  <c r="H446" i="1"/>
  <c r="U445" i="1"/>
  <c r="U444" i="1"/>
  <c r="U443" i="1"/>
  <c r="U442" i="1"/>
  <c r="H442" i="1"/>
  <c r="U441" i="1"/>
  <c r="U440" i="1"/>
  <c r="U439" i="1"/>
  <c r="U438" i="1"/>
  <c r="U437" i="1"/>
  <c r="U436" i="1"/>
  <c r="H436" i="1"/>
  <c r="U435" i="1"/>
  <c r="U434" i="1"/>
  <c r="H434" i="1"/>
  <c r="U433" i="1"/>
  <c r="H433" i="1"/>
  <c r="U432" i="1"/>
  <c r="U431" i="1"/>
  <c r="U430" i="1"/>
  <c r="U429" i="1"/>
  <c r="U428" i="1"/>
  <c r="U427" i="1"/>
  <c r="U426" i="1"/>
  <c r="U425" i="1"/>
  <c r="U424" i="1"/>
  <c r="U423" i="1"/>
  <c r="U422" i="1"/>
  <c r="U421" i="1"/>
  <c r="U420" i="1"/>
  <c r="U419" i="1"/>
  <c r="U418" i="1"/>
  <c r="U417" i="1"/>
  <c r="U416" i="1"/>
  <c r="U415" i="1"/>
  <c r="U414" i="1"/>
  <c r="U413" i="1"/>
  <c r="U412" i="1"/>
  <c r="U411" i="1"/>
  <c r="U410" i="1"/>
  <c r="U409" i="1"/>
  <c r="H409" i="1"/>
  <c r="U408" i="1"/>
  <c r="U407" i="1"/>
  <c r="U406" i="1"/>
  <c r="U405" i="1"/>
  <c r="U404" i="1"/>
  <c r="U403" i="1"/>
  <c r="U402" i="1"/>
  <c r="U401" i="1"/>
  <c r="U400" i="1"/>
  <c r="U399" i="1"/>
  <c r="U398" i="1"/>
  <c r="U397" i="1"/>
  <c r="U396" i="1"/>
  <c r="U395" i="1"/>
  <c r="H395" i="1"/>
  <c r="U394" i="1"/>
  <c r="U393" i="1"/>
  <c r="U392" i="1"/>
  <c r="U391" i="1"/>
  <c r="U390" i="1"/>
  <c r="U389" i="1"/>
  <c r="U388" i="1"/>
  <c r="U387" i="1"/>
  <c r="U386" i="1"/>
  <c r="U385" i="1"/>
  <c r="U384" i="1"/>
  <c r="H384" i="1"/>
  <c r="U383" i="1"/>
  <c r="U382" i="1"/>
  <c r="U381" i="1"/>
  <c r="H381" i="1"/>
  <c r="U380" i="1"/>
  <c r="U379" i="1"/>
  <c r="U378" i="1"/>
  <c r="U377" i="1"/>
  <c r="U376" i="1"/>
  <c r="U375" i="1"/>
  <c r="H375" i="1"/>
  <c r="U374" i="1"/>
  <c r="U373" i="1"/>
  <c r="U372" i="1"/>
  <c r="U371" i="1"/>
  <c r="U370" i="1"/>
  <c r="U369" i="1"/>
  <c r="U368" i="1"/>
  <c r="U367" i="1"/>
  <c r="U366" i="1"/>
  <c r="U365" i="1"/>
  <c r="U364" i="1"/>
  <c r="U363" i="1"/>
  <c r="U362" i="1"/>
  <c r="U361" i="1"/>
  <c r="U360" i="1"/>
  <c r="U359" i="1"/>
  <c r="U358" i="1"/>
  <c r="U357" i="1"/>
  <c r="U356" i="1"/>
  <c r="H356" i="1"/>
  <c r="U355" i="1"/>
  <c r="U354" i="1"/>
  <c r="U353" i="1"/>
  <c r="U352" i="1"/>
  <c r="U351" i="1"/>
  <c r="U350" i="1"/>
  <c r="U349" i="1"/>
  <c r="U348" i="1"/>
  <c r="U347" i="1"/>
  <c r="U346" i="1"/>
  <c r="U345" i="1"/>
  <c r="U344" i="1"/>
  <c r="U343" i="1"/>
  <c r="U342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9" i="1"/>
  <c r="U328" i="1"/>
  <c r="U327" i="1"/>
  <c r="U326" i="1"/>
  <c r="U325" i="1"/>
  <c r="E9" i="2"/>
  <c r="U323" i="1"/>
  <c r="H323" i="1"/>
  <c r="U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U308" i="1"/>
  <c r="U307" i="1"/>
  <c r="U306" i="1"/>
  <c r="U305" i="1"/>
  <c r="U304" i="1"/>
  <c r="H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H282" i="1"/>
  <c r="U281" i="1"/>
  <c r="U280" i="1"/>
  <c r="U279" i="1"/>
  <c r="U278" i="1"/>
  <c r="U277" i="1"/>
  <c r="U276" i="1"/>
  <c r="U275" i="1"/>
  <c r="U274" i="1"/>
  <c r="H274" i="1"/>
  <c r="U273" i="1"/>
  <c r="U272" i="1"/>
  <c r="H272" i="1"/>
  <c r="U271" i="1"/>
  <c r="U270" i="1"/>
  <c r="U269" i="1"/>
  <c r="U268" i="1"/>
  <c r="U267" i="1"/>
  <c r="U266" i="1"/>
  <c r="U265" i="1"/>
  <c r="H265" i="1"/>
  <c r="U264" i="1"/>
  <c r="U263" i="1"/>
  <c r="U262" i="1"/>
  <c r="U261" i="1"/>
  <c r="U260" i="1"/>
  <c r="H260" i="1"/>
  <c r="U259" i="1"/>
  <c r="U258" i="1"/>
  <c r="U257" i="1"/>
  <c r="U256" i="1"/>
  <c r="H256" i="1"/>
  <c r="U255" i="1"/>
  <c r="U254" i="1"/>
  <c r="U253" i="1"/>
  <c r="H253" i="1"/>
  <c r="U252" i="1"/>
  <c r="U251" i="1"/>
  <c r="U250" i="1"/>
  <c r="H250" i="1"/>
  <c r="U249" i="1"/>
  <c r="U248" i="1"/>
  <c r="H248" i="1"/>
  <c r="U247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H230" i="1"/>
  <c r="U229" i="1"/>
  <c r="U228" i="1"/>
  <c r="U227" i="1"/>
  <c r="U226" i="1"/>
  <c r="H226" i="1"/>
  <c r="U225" i="1"/>
  <c r="H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H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H147" i="1"/>
  <c r="U146" i="1"/>
  <c r="U145" i="1"/>
  <c r="U144" i="1"/>
  <c r="H144" i="1"/>
  <c r="U143" i="1"/>
  <c r="U142" i="1"/>
  <c r="U141" i="1"/>
  <c r="U140" i="1"/>
  <c r="H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H121" i="1"/>
  <c r="U120" i="1"/>
  <c r="U119" i="1"/>
  <c r="U118" i="1"/>
  <c r="U117" i="1"/>
  <c r="H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H83" i="1"/>
  <c r="U82" i="1"/>
  <c r="U81" i="1"/>
  <c r="U80" i="1"/>
  <c r="U79" i="1"/>
  <c r="U78" i="1"/>
  <c r="H78" i="1"/>
  <c r="U77" i="1"/>
  <c r="U76" i="1"/>
  <c r="U75" i="1"/>
  <c r="U74" i="1"/>
  <c r="H74" i="1"/>
  <c r="U73" i="1"/>
  <c r="H73" i="1"/>
  <c r="U72" i="1"/>
  <c r="U71" i="1"/>
  <c r="U70" i="1"/>
  <c r="U69" i="1"/>
  <c r="U68" i="1"/>
  <c r="U67" i="1"/>
  <c r="U66" i="1"/>
  <c r="U65" i="1"/>
  <c r="U64" i="1"/>
  <c r="U63" i="1"/>
  <c r="H63" i="1"/>
  <c r="U62" i="1"/>
  <c r="U61" i="1"/>
  <c r="U60" i="1"/>
  <c r="U59" i="1"/>
  <c r="U58" i="1"/>
  <c r="U57" i="1"/>
  <c r="U56" i="1"/>
  <c r="U55" i="1"/>
  <c r="U54" i="1"/>
  <c r="U53" i="1"/>
  <c r="U52" i="1"/>
  <c r="H52" i="1"/>
  <c r="U51" i="1"/>
  <c r="U50" i="1"/>
  <c r="U49" i="1"/>
  <c r="H49" i="1"/>
  <c r="U48" i="1"/>
  <c r="U47" i="1"/>
  <c r="U46" i="1"/>
  <c r="H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H32" i="1"/>
  <c r="U31" i="1"/>
  <c r="H31" i="1"/>
  <c r="U30" i="1"/>
  <c r="U29" i="1"/>
  <c r="H29" i="1"/>
  <c r="U28" i="1"/>
  <c r="H28" i="1"/>
  <c r="U27" i="1"/>
  <c r="U26" i="1"/>
  <c r="U25" i="1"/>
  <c r="U24" i="1"/>
  <c r="U23" i="1"/>
  <c r="U22" i="1"/>
  <c r="U21" i="1"/>
  <c r="H21" i="1"/>
  <c r="U20" i="1"/>
  <c r="U19" i="1"/>
  <c r="U18" i="1"/>
  <c r="U17" i="1"/>
  <c r="U16" i="1"/>
  <c r="H16" i="1"/>
  <c r="U15" i="1"/>
  <c r="U14" i="1"/>
  <c r="U13" i="1"/>
  <c r="U12" i="1"/>
  <c r="U11" i="1"/>
  <c r="U10" i="1"/>
  <c r="U9" i="1"/>
  <c r="U8" i="1"/>
  <c r="U7" i="1"/>
  <c r="U6" i="1"/>
  <c r="U5" i="1"/>
  <c r="H5" i="1"/>
  <c r="U4" i="1"/>
  <c r="H185" i="1"/>
  <c r="H236" i="1"/>
  <c r="H156" i="1"/>
  <c r="H363" i="1"/>
  <c r="H431" i="1"/>
  <c r="H544" i="1"/>
  <c r="H86" i="1"/>
  <c r="H348" i="1"/>
  <c r="H418" i="1"/>
  <c r="H399" i="1"/>
  <c r="H456" i="1"/>
  <c r="H479" i="1"/>
  <c r="H522" i="1"/>
  <c r="H530" i="1"/>
  <c r="H552" i="1"/>
  <c r="H629" i="1"/>
  <c r="H576" i="1"/>
  <c r="H603" i="1"/>
  <c r="H606" i="1"/>
  <c r="H668" i="1"/>
  <c r="H673" i="1"/>
  <c r="H531" i="1"/>
  <c r="H539" i="1"/>
  <c r="H559" i="1"/>
  <c r="H568" i="1"/>
  <c r="H610" i="1"/>
  <c r="H654" i="1"/>
  <c r="H607" i="1"/>
  <c r="H626" i="1"/>
  <c r="H12" i="1"/>
  <c r="H64" i="1"/>
  <c r="H72" i="1"/>
  <c r="H80" i="1"/>
  <c r="H161" i="1"/>
  <c r="H91" i="1"/>
  <c r="H123" i="1"/>
  <c r="H128" i="1"/>
  <c r="H135" i="1"/>
  <c r="H177" i="1"/>
  <c r="H160" i="1"/>
  <c r="H254" i="1"/>
  <c r="H377" i="1"/>
  <c r="H107" i="1"/>
  <c r="H176" i="1"/>
  <c r="H249" i="1"/>
  <c r="H269" i="1"/>
  <c r="H382" i="1"/>
  <c r="H271" i="1"/>
  <c r="H311" i="1"/>
  <c r="H532" i="1"/>
  <c r="H118" i="1"/>
  <c r="H191" i="1"/>
  <c r="H195" i="1"/>
  <c r="H215" i="1"/>
  <c r="H259" i="1"/>
  <c r="H291" i="1"/>
  <c r="H310" i="1"/>
  <c r="H391" i="1"/>
  <c r="H464" i="1"/>
  <c r="H284" i="1"/>
  <c r="H303" i="1"/>
  <c r="U324" i="1"/>
  <c r="H354" i="1"/>
  <c r="H372" i="1"/>
  <c r="H264" i="1"/>
  <c r="H280" i="1"/>
  <c r="H288" i="1"/>
  <c r="H299" i="1"/>
  <c r="H357" i="1"/>
  <c r="H432" i="1"/>
  <c r="H504" i="1"/>
  <c r="H414" i="1"/>
  <c r="H427" i="1"/>
  <c r="H454" i="1"/>
  <c r="H462" i="1"/>
  <c r="H441" i="1"/>
  <c r="H453" i="1"/>
  <c r="H457" i="1"/>
  <c r="H461" i="1"/>
  <c r="H485" i="1"/>
  <c r="H465" i="1"/>
  <c r="H481" i="1"/>
  <c r="H508" i="1"/>
  <c r="H557" i="1"/>
  <c r="H477" i="1"/>
  <c r="H501" i="1"/>
  <c r="H512" i="1"/>
  <c r="H473" i="1"/>
  <c r="H505" i="1"/>
  <c r="H521" i="1"/>
  <c r="H537" i="1"/>
  <c r="H581" i="1"/>
  <c r="H545" i="1"/>
  <c r="H550" i="1"/>
  <c r="H565" i="1"/>
  <c r="H566" i="1"/>
  <c r="H554" i="1"/>
  <c r="H570" i="1"/>
  <c r="H553" i="1"/>
  <c r="H574" i="1"/>
  <c r="H585" i="1"/>
  <c r="H601" i="1"/>
  <c r="H605" i="1"/>
  <c r="H613" i="1"/>
  <c r="H584" i="1"/>
  <c r="H592" i="1"/>
  <c r="H604" i="1"/>
  <c r="H612" i="1"/>
  <c r="H616" i="1"/>
  <c r="H620" i="1"/>
  <c r="H640" i="1"/>
  <c r="H645" i="1"/>
  <c r="H644" i="1"/>
  <c r="H659" i="1"/>
  <c r="H663" i="1"/>
  <c r="H199" i="1"/>
  <c r="H257" i="1"/>
  <c r="H300" i="1"/>
  <c r="H525" i="1"/>
  <c r="H127" i="1"/>
  <c r="H527" i="1"/>
  <c r="H650" i="1"/>
  <c r="H23" i="1"/>
  <c r="H75" i="1"/>
  <c r="H110" i="1"/>
  <c r="S677" i="1"/>
  <c r="H122" i="1"/>
  <c r="H197" i="1"/>
  <c r="H203" i="1"/>
  <c r="H240" i="1"/>
  <c r="U246" i="1"/>
  <c r="H294" i="1"/>
  <c r="H443" i="1"/>
  <c r="H448" i="1"/>
  <c r="H670" i="1"/>
  <c r="H221" i="1"/>
  <c r="H60" i="1"/>
  <c r="H133" i="1"/>
  <c r="H145" i="1"/>
  <c r="H258" i="1"/>
  <c r="H279" i="1"/>
  <c r="H41" i="1"/>
  <c r="H56" i="1"/>
  <c r="H105" i="1"/>
  <c r="H124" i="1"/>
  <c r="H125" i="1"/>
  <c r="H129" i="1"/>
  <c r="H134" i="1"/>
  <c r="H171" i="1"/>
  <c r="H17" i="1"/>
  <c r="H131" i="1"/>
  <c r="H202" i="1"/>
  <c r="H241" i="1"/>
  <c r="H380" i="1"/>
  <c r="H245" i="1"/>
  <c r="H367" i="1"/>
  <c r="H376" i="1"/>
  <c r="H415" i="1"/>
  <c r="H178" i="1"/>
  <c r="H229" i="1"/>
  <c r="H460" i="1"/>
  <c r="H184" i="1"/>
  <c r="H238" i="1"/>
  <c r="H463" i="1"/>
  <c r="H503" i="1"/>
  <c r="H646" i="1"/>
  <c r="H419" i="1"/>
  <c r="H510" i="1"/>
  <c r="H642" i="1"/>
  <c r="H564" i="1"/>
  <c r="H602" i="1"/>
  <c r="H618" i="1"/>
  <c r="H611" i="1"/>
  <c r="H95" i="1"/>
  <c r="H108" i="1"/>
  <c r="H132" i="1"/>
  <c r="H152" i="1"/>
  <c r="H219" i="1"/>
  <c r="H298" i="1"/>
  <c r="H424" i="1"/>
  <c r="H472" i="1"/>
  <c r="H669" i="1"/>
  <c r="H439" i="1"/>
  <c r="H106" i="1"/>
  <c r="H224" i="1"/>
  <c r="H149" i="1"/>
  <c r="H88" i="1"/>
  <c r="H500" i="1"/>
  <c r="H493" i="1"/>
  <c r="H404" i="1"/>
  <c r="H483" i="1"/>
  <c r="H425" i="1"/>
  <c r="H214" i="1"/>
  <c r="H246" i="1"/>
  <c r="H286" i="1"/>
  <c r="H412" i="1"/>
  <c r="H423" i="1"/>
  <c r="H675" i="1"/>
  <c r="H305" i="1"/>
  <c r="H212" i="1"/>
  <c r="H89" i="1"/>
  <c r="H416" i="1"/>
  <c r="H297" i="1"/>
  <c r="H93" i="1"/>
  <c r="H671" i="1"/>
  <c r="H411" i="1"/>
  <c r="H292" i="1"/>
  <c r="H126" i="1"/>
  <c r="H141" i="1"/>
  <c r="H99" i="1"/>
  <c r="H11" i="1"/>
  <c r="H151" i="1"/>
  <c r="H308" i="1"/>
  <c r="H34" i="1"/>
  <c r="H69" i="1"/>
  <c r="H183" i="1"/>
  <c r="H194" i="1"/>
  <c r="H374" i="1"/>
  <c r="H390" i="1"/>
  <c r="H543" i="1"/>
  <c r="H572" i="1"/>
  <c r="H588" i="1"/>
  <c r="H595" i="1"/>
  <c r="H608" i="1"/>
  <c r="H628" i="1"/>
  <c r="H283" i="1"/>
  <c r="H20" i="1"/>
  <c r="H44" i="1"/>
  <c r="H674" i="1"/>
  <c r="H666" i="1"/>
  <c r="H546" i="1"/>
  <c r="H496" i="1"/>
  <c r="H467" i="1"/>
  <c r="H400" i="1"/>
  <c r="H318" i="1"/>
  <c r="H301" i="1"/>
  <c r="H296" i="1"/>
  <c r="H211" i="1"/>
  <c r="H487" i="1"/>
  <c r="H408" i="1"/>
  <c r="H475" i="1"/>
  <c r="H142" i="1"/>
  <c r="H173" i="1"/>
  <c r="H181" i="1"/>
  <c r="H352" i="1"/>
  <c r="H474" i="1"/>
  <c r="H497" i="1"/>
  <c r="H538" i="1"/>
  <c r="H579" i="1"/>
  <c r="H587" i="1"/>
  <c r="H47" i="1"/>
  <c r="H71" i="1"/>
  <c r="H137" i="1"/>
  <c r="H162" i="1"/>
  <c r="H389" i="1"/>
  <c r="H643" i="1"/>
  <c r="H82" i="1"/>
  <c r="H148" i="1"/>
  <c r="H100" i="1"/>
  <c r="H79" i="1"/>
  <c r="H520" i="1"/>
  <c r="H388" i="1"/>
  <c r="H36" i="1"/>
  <c r="H551" i="1"/>
  <c r="H43" i="1"/>
  <c r="H166" i="1"/>
  <c r="H266" i="1"/>
  <c r="H358" i="1"/>
  <c r="H507" i="1"/>
  <c r="H589" i="1"/>
  <c r="H630" i="1"/>
  <c r="H664" i="1"/>
  <c r="H9" i="1"/>
  <c r="H109" i="1"/>
  <c r="H136" i="1"/>
  <c r="H138" i="1"/>
  <c r="H182" i="1"/>
  <c r="H273" i="1"/>
  <c r="H293" i="1"/>
  <c r="H316" i="1"/>
  <c r="H430" i="1"/>
  <c r="H470" i="1"/>
  <c r="H621" i="1"/>
  <c r="H665" i="1"/>
  <c r="H200" i="1"/>
  <c r="H261" i="1"/>
  <c r="H267" i="1"/>
  <c r="H306" i="1"/>
  <c r="H319" i="1"/>
  <c r="H469" i="1"/>
  <c r="H478" i="1"/>
  <c r="H484" i="1"/>
  <c r="H556" i="1"/>
  <c r="H569" i="1"/>
  <c r="H617" i="1"/>
  <c r="H627" i="1"/>
  <c r="H639" i="1"/>
  <c r="H103" i="1"/>
  <c r="H104" i="1"/>
  <c r="H130" i="1"/>
  <c r="H349" i="1"/>
  <c r="H361" i="1"/>
  <c r="H364" i="1"/>
  <c r="H365" i="1"/>
  <c r="H370" i="1"/>
  <c r="H378" i="1"/>
  <c r="H402" i="1"/>
  <c r="H406" i="1"/>
  <c r="H410" i="1"/>
  <c r="H428" i="1"/>
  <c r="H444" i="1"/>
  <c r="H451" i="1"/>
  <c r="H452" i="1"/>
  <c r="H455" i="1"/>
  <c r="H489" i="1"/>
  <c r="H490" i="1"/>
  <c r="H533" i="1"/>
  <c r="H535" i="1"/>
  <c r="H594" i="1"/>
  <c r="H598" i="1"/>
  <c r="H600" i="1"/>
  <c r="H609" i="1"/>
  <c r="H619" i="1"/>
  <c r="H622" i="1"/>
  <c r="H631" i="1"/>
  <c r="H632" i="1"/>
  <c r="H636" i="1"/>
  <c r="H59" i="1"/>
  <c r="H94" i="1"/>
  <c r="H96" i="1"/>
  <c r="H101" i="1"/>
  <c r="H163" i="1"/>
  <c r="H237" i="1"/>
  <c r="H392" i="1"/>
  <c r="H393" i="1"/>
  <c r="H515" i="1"/>
  <c r="H516" i="1"/>
  <c r="H519" i="1"/>
  <c r="H524" i="1"/>
  <c r="H591" i="1"/>
  <c r="H635" i="1"/>
  <c r="H652" i="1"/>
  <c r="H450" i="1"/>
  <c r="H366" i="1"/>
  <c r="H42" i="1"/>
  <c r="H48" i="1"/>
  <c r="H53" i="1"/>
  <c r="H68" i="1"/>
  <c r="H92" i="1"/>
  <c r="H157" i="1"/>
  <c r="H422" i="1"/>
  <c r="H426" i="1"/>
  <c r="H492" i="1"/>
  <c r="H498" i="1"/>
  <c r="H506" i="1"/>
  <c r="H509" i="1"/>
  <c r="H511" i="1"/>
  <c r="H549" i="1"/>
  <c r="H555" i="1"/>
  <c r="H561" i="1"/>
  <c r="H573" i="1"/>
  <c r="H582" i="1"/>
  <c r="H586" i="1"/>
  <c r="H590" i="1"/>
  <c r="H27" i="1"/>
  <c r="H38" i="1"/>
  <c r="H39" i="1"/>
  <c r="H216" i="1"/>
  <c r="H491" i="1"/>
  <c r="H540" i="1"/>
  <c r="H637" i="1"/>
  <c r="H638" i="1"/>
  <c r="H672" i="1"/>
  <c r="H37" i="1"/>
  <c r="H54" i="1"/>
  <c r="H67" i="1"/>
  <c r="H114" i="1"/>
  <c r="H180" i="1"/>
  <c r="H204" i="1"/>
  <c r="H277" i="1"/>
  <c r="H315" i="1"/>
  <c r="H345" i="1"/>
  <c r="H347" i="1"/>
  <c r="H359" i="1"/>
  <c r="H413" i="1"/>
  <c r="H420" i="1"/>
  <c r="H435" i="1"/>
  <c r="H548" i="1"/>
  <c r="H580" i="1"/>
  <c r="H495" i="1"/>
  <c r="H198" i="1"/>
  <c r="H379" i="1"/>
  <c r="H70" i="1"/>
  <c r="H205" i="1"/>
  <c r="H647" i="1"/>
  <c r="H578" i="1"/>
  <c r="H529" i="1"/>
  <c r="H437" i="1"/>
  <c r="H480" i="1"/>
  <c r="H421" i="1"/>
  <c r="H373" i="1"/>
  <c r="H307" i="1"/>
  <c r="H285" i="1"/>
  <c r="H276" i="1"/>
  <c r="H120" i="1"/>
  <c r="H87" i="1"/>
  <c r="H7" i="1"/>
  <c r="H383" i="1"/>
  <c r="H10" i="1"/>
  <c r="H119" i="1"/>
  <c r="H139" i="1"/>
  <c r="H143" i="1"/>
  <c r="H158" i="1"/>
  <c r="H210" i="1"/>
  <c r="H262" i="1"/>
  <c r="H263" i="1"/>
  <c r="H317" i="1"/>
  <c r="H468" i="1"/>
  <c r="H651" i="1"/>
  <c r="H312" i="1"/>
  <c r="H164" i="1"/>
  <c r="H153" i="1"/>
  <c r="H57" i="1"/>
  <c r="H50" i="1"/>
  <c r="H344" i="1"/>
  <c r="H58" i="1"/>
  <c r="H641" i="1"/>
  <c r="H438" i="1"/>
  <c r="H405" i="1"/>
  <c r="H343" i="1"/>
  <c r="H302" i="1"/>
  <c r="H295" i="1"/>
  <c r="H268" i="1"/>
  <c r="H235" i="1"/>
  <c r="H227" i="1"/>
  <c r="H255" i="1"/>
  <c r="H657" i="1"/>
  <c r="H84" i="1"/>
  <c r="H116" i="1"/>
  <c r="H159" i="1"/>
  <c r="H167" i="1"/>
  <c r="H174" i="1"/>
  <c r="H201" i="1"/>
  <c r="H218" i="1"/>
  <c r="H242" i="1"/>
  <c r="H252" i="1"/>
  <c r="H287" i="1"/>
  <c r="H394" i="1"/>
  <c r="H398" i="1"/>
  <c r="H407" i="1"/>
  <c r="H445" i="1"/>
  <c r="H459" i="1"/>
  <c r="H596" i="1"/>
  <c r="H228" i="1"/>
  <c r="H231" i="1"/>
  <c r="H278" i="1"/>
  <c r="H313" i="1"/>
  <c r="H542" i="1"/>
  <c r="H15" i="1"/>
  <c r="H30" i="1"/>
  <c r="H76" i="1"/>
  <c r="H154" i="1"/>
  <c r="H362" i="1"/>
  <c r="H499" i="1"/>
  <c r="H656" i="1"/>
  <c r="H186" i="1"/>
  <c r="H351" i="1"/>
  <c r="H353" i="1"/>
  <c r="H513" i="1"/>
  <c r="H633" i="1"/>
  <c r="H662" i="1"/>
  <c r="H6" i="1"/>
  <c r="K677" i="1"/>
  <c r="H8" i="1"/>
  <c r="H170" i="1"/>
  <c r="H179" i="1"/>
  <c r="H187" i="1"/>
  <c r="H188" i="1"/>
  <c r="H192" i="1"/>
  <c r="H206" i="1"/>
  <c r="H247" i="1"/>
  <c r="H321" i="1"/>
  <c r="H322" i="1"/>
  <c r="H342" i="1"/>
  <c r="H355" i="1"/>
  <c r="H387" i="1"/>
  <c r="H396" i="1"/>
  <c r="H18" i="1"/>
  <c r="H112" i="1"/>
  <c r="H401" i="1"/>
  <c r="H397" i="1"/>
  <c r="H314" i="1"/>
  <c r="H24" i="1"/>
  <c r="H189" i="1"/>
  <c r="H217" i="1"/>
  <c r="H22" i="1"/>
  <c r="H51" i="1"/>
  <c r="H55" i="1"/>
  <c r="H61" i="1"/>
  <c r="H66" i="1"/>
  <c r="H102" i="1"/>
  <c r="H115" i="1"/>
  <c r="H243" i="1"/>
  <c r="H275" i="1"/>
  <c r="H281" i="1"/>
  <c r="H289" i="1"/>
  <c r="H35" i="1"/>
  <c r="H77" i="1"/>
  <c r="H98" i="1"/>
  <c r="H150" i="1"/>
  <c r="H175" i="1"/>
  <c r="H207" i="1"/>
  <c r="H350" i="1"/>
  <c r="H360" i="1"/>
  <c r="H213" i="1"/>
  <c r="H440" i="1"/>
  <c r="H625" i="1"/>
  <c r="H14" i="1"/>
  <c r="H81" i="1"/>
  <c r="H667" i="1"/>
  <c r="H615" i="1"/>
  <c r="H223" i="1"/>
  <c r="N677" i="1"/>
  <c r="H155" i="1"/>
  <c r="H26" i="1"/>
  <c r="H40" i="1"/>
  <c r="H85" i="1"/>
  <c r="H97" i="1"/>
  <c r="H111" i="1"/>
  <c r="H113" i="1"/>
  <c r="H146" i="1"/>
  <c r="H165" i="1"/>
  <c r="H172" i="1"/>
  <c r="H196" i="1"/>
  <c r="H208" i="1"/>
  <c r="H232" i="1"/>
  <c r="H233" i="1"/>
  <c r="H234" i="1"/>
  <c r="H239" i="1"/>
  <c r="H290" i="1"/>
  <c r="H19" i="1"/>
  <c r="H45" i="1"/>
  <c r="H62" i="1"/>
  <c r="H190" i="1"/>
  <c r="H209" i="1"/>
  <c r="H222" i="1"/>
  <c r="H251" i="1"/>
  <c r="H270" i="1"/>
  <c r="H371" i="1"/>
  <c r="H563" i="1"/>
  <c r="H13" i="1"/>
  <c r="H25" i="1"/>
  <c r="H33" i="1"/>
  <c r="H65" i="1"/>
  <c r="H90" i="1"/>
  <c r="H220" i="1"/>
  <c r="H244" i="1"/>
  <c r="H320" i="1"/>
  <c r="H471" i="1"/>
  <c r="H518" i="1"/>
  <c r="H547" i="1"/>
  <c r="H560" i="1"/>
  <c r="H309" i="1"/>
  <c r="H369" i="1"/>
  <c r="H526" i="1"/>
  <c r="H599" i="1"/>
  <c r="H346" i="1"/>
  <c r="H385" i="1"/>
  <c r="H386" i="1"/>
  <c r="H403" i="1"/>
  <c r="H447" i="1"/>
  <c r="H417" i="1"/>
  <c r="H488" i="1"/>
  <c r="H577" i="1"/>
  <c r="H429" i="1"/>
  <c r="H502" i="1"/>
  <c r="H567" i="1"/>
  <c r="H583" i="1"/>
  <c r="H660" i="1"/>
  <c r="H677" i="1" l="1"/>
  <c r="H11" i="2"/>
  <c r="H7" i="2"/>
  <c r="B6" i="2"/>
  <c r="B3" i="2"/>
  <c r="B12" i="2"/>
  <c r="C12" i="2"/>
  <c r="B7" i="2"/>
  <c r="AH677" i="1"/>
  <c r="C4" i="2"/>
  <c r="F3" i="2"/>
  <c r="AI677" i="1"/>
  <c r="F11" i="2"/>
  <c r="E8" i="2"/>
  <c r="E6" i="2"/>
  <c r="H3" i="2"/>
  <c r="F6" i="2"/>
  <c r="C10" i="2"/>
  <c r="B11" i="2"/>
  <c r="F7" i="2"/>
  <c r="C8" i="2"/>
  <c r="F4" i="2"/>
  <c r="F5" i="2"/>
  <c r="E11" i="2"/>
  <c r="B4" i="2"/>
  <c r="C7" i="2"/>
  <c r="C11" i="2"/>
  <c r="F12" i="2"/>
  <c r="B8" i="2"/>
  <c r="E4" i="2"/>
  <c r="B10" i="2"/>
  <c r="B5" i="2"/>
  <c r="C5" i="2"/>
  <c r="E7" i="2"/>
  <c r="H4" i="2"/>
  <c r="H10" i="2"/>
  <c r="F10" i="2"/>
  <c r="H12" i="2"/>
  <c r="F8" i="2"/>
  <c r="E5" i="2"/>
  <c r="E3" i="2"/>
  <c r="C3" i="2"/>
  <c r="C6" i="2"/>
  <c r="D9" i="2"/>
  <c r="H8" i="2"/>
  <c r="H5" i="2"/>
  <c r="H6" i="2"/>
  <c r="E12" i="2"/>
  <c r="E10" i="2"/>
  <c r="F9" i="2"/>
  <c r="G9" i="2" s="1"/>
  <c r="I9" i="2" s="1"/>
  <c r="U677" i="1"/>
  <c r="O677" i="1"/>
  <c r="AK677" i="1" l="1"/>
  <c r="D8" i="2"/>
  <c r="G7" i="2"/>
  <c r="I7" i="2" s="1"/>
  <c r="G4" i="2"/>
  <c r="I4" i="2" s="1"/>
  <c r="G3" i="2"/>
  <c r="I3" i="2" s="1"/>
  <c r="D3" i="2"/>
  <c r="G8" i="2"/>
  <c r="I8" i="2" s="1"/>
  <c r="D12" i="2"/>
  <c r="G10" i="2"/>
  <c r="I10" i="2" s="1"/>
  <c r="D7" i="2"/>
  <c r="G12" i="2"/>
  <c r="I12" i="2" s="1"/>
  <c r="D4" i="2"/>
  <c r="G6" i="2"/>
  <c r="I6" i="2" s="1"/>
  <c r="D6" i="2"/>
  <c r="E13" i="2"/>
  <c r="E677" i="1"/>
  <c r="G11" i="2"/>
  <c r="I11" i="2" s="1"/>
  <c r="F13" i="2"/>
  <c r="D10" i="2"/>
  <c r="G5" i="2"/>
  <c r="I5" i="2" s="1"/>
  <c r="D11" i="2"/>
  <c r="B13" i="2"/>
  <c r="C13" i="2"/>
  <c r="D5" i="2"/>
  <c r="H13" i="2"/>
  <c r="G13" i="2" l="1"/>
  <c r="I13" i="2" s="1"/>
  <c r="D13" i="2"/>
</calcChain>
</file>

<file path=xl/sharedStrings.xml><?xml version="1.0" encoding="utf-8"?>
<sst xmlns="http://schemas.openxmlformats.org/spreadsheetml/2006/main" count="3481" uniqueCount="2064">
  <si>
    <t>Unduplicated District Count Students Served                     (FOURS only)</t>
  </si>
  <si>
    <t>Code</t>
  </si>
  <si>
    <t>Name</t>
  </si>
  <si>
    <t>Labor Region</t>
  </si>
  <si>
    <t>Total Served by All Programs (unduplicated) 3s &amp; 4s</t>
  </si>
  <si>
    <t>Total Full Day Seats (unduplicated) 3s &amp; 4s</t>
  </si>
  <si>
    <t>Total Half Day Seats (unduplicated)  3s &amp; 4s</t>
  </si>
  <si>
    <t>Total UPK              (Half and Full Day)</t>
  </si>
  <si>
    <t>Total Half-Day UPK</t>
  </si>
  <si>
    <t>Total Full-Day UPK</t>
  </si>
  <si>
    <t>Total Conversions (other grants)</t>
  </si>
  <si>
    <t>New Full-Day Seats</t>
  </si>
  <si>
    <t>Conversion Seats</t>
  </si>
  <si>
    <t>Total Seats Served by SUFDPK</t>
  </si>
  <si>
    <t>Students Served in Half Day Slots</t>
  </si>
  <si>
    <t>Students Served in Full Day Slots</t>
  </si>
  <si>
    <t>010100</t>
  </si>
  <si>
    <t xml:space="preserve">ALBANY        </t>
  </si>
  <si>
    <t>Capital District</t>
  </si>
  <si>
    <t>010201</t>
  </si>
  <si>
    <t xml:space="preserve">BERNE KNOX    </t>
  </si>
  <si>
    <t>010306</t>
  </si>
  <si>
    <t xml:space="preserve">BETHLEHEM     </t>
  </si>
  <si>
    <t>010402</t>
  </si>
  <si>
    <t>RAVENA COEYMAN</t>
  </si>
  <si>
    <t>010500</t>
  </si>
  <si>
    <t xml:space="preserve">COHOES        </t>
  </si>
  <si>
    <t>010601</t>
  </si>
  <si>
    <t xml:space="preserve">SOUTH COLONIE </t>
  </si>
  <si>
    <t>010615</t>
  </si>
  <si>
    <t xml:space="preserve">MENANDS       </t>
  </si>
  <si>
    <t>010623</t>
  </si>
  <si>
    <t xml:space="preserve">NORTH COLONIE </t>
  </si>
  <si>
    <t>010701</t>
  </si>
  <si>
    <t xml:space="preserve">GREEN ISLAND  </t>
  </si>
  <si>
    <t>010802</t>
  </si>
  <si>
    <t xml:space="preserve">GUILDERLAND   </t>
  </si>
  <si>
    <t>011003</t>
  </si>
  <si>
    <t xml:space="preserve">VOORHEESVILLE </t>
  </si>
  <si>
    <t>011200</t>
  </si>
  <si>
    <t xml:space="preserve">WATERVLIET    </t>
  </si>
  <si>
    <t>020101</t>
  </si>
  <si>
    <t xml:space="preserve">ALFRED ALMOND </t>
  </si>
  <si>
    <t>Western New York</t>
  </si>
  <si>
    <t>020601</t>
  </si>
  <si>
    <t xml:space="preserve">ANDOVER       </t>
  </si>
  <si>
    <t>020702</t>
  </si>
  <si>
    <t>GENESEE VALLEY</t>
  </si>
  <si>
    <t>020801</t>
  </si>
  <si>
    <t xml:space="preserve">BELFAST       </t>
  </si>
  <si>
    <t>021102</t>
  </si>
  <si>
    <t xml:space="preserve">CANASERAGA    </t>
  </si>
  <si>
    <t>021601</t>
  </si>
  <si>
    <t xml:space="preserve">FRIENDSHIP    </t>
  </si>
  <si>
    <t>022001</t>
  </si>
  <si>
    <t xml:space="preserve">FILLMORE      </t>
  </si>
  <si>
    <t>022101</t>
  </si>
  <si>
    <t xml:space="preserve">WHITESVILLE   </t>
  </si>
  <si>
    <t>022302</t>
  </si>
  <si>
    <t xml:space="preserve">CUBA-RUSHFORD </t>
  </si>
  <si>
    <t>022401</t>
  </si>
  <si>
    <t xml:space="preserve">SCIO          </t>
  </si>
  <si>
    <t>022601</t>
  </si>
  <si>
    <t xml:space="preserve">WELLSVILLE    </t>
  </si>
  <si>
    <t>022902</t>
  </si>
  <si>
    <t>BOLIVAR-RICHBG</t>
  </si>
  <si>
    <t>030101</t>
  </si>
  <si>
    <t>CHENANGO FORKS</t>
  </si>
  <si>
    <t>Southern Tier</t>
  </si>
  <si>
    <t>030200</t>
  </si>
  <si>
    <t xml:space="preserve">BINGHAMTON    </t>
  </si>
  <si>
    <t>030501</t>
  </si>
  <si>
    <t xml:space="preserve">HARPURSVILLE  </t>
  </si>
  <si>
    <t>030601</t>
  </si>
  <si>
    <t>SUSQUEHANNA VA</t>
  </si>
  <si>
    <t>030701</t>
  </si>
  <si>
    <t>CHENANGO VALLE</t>
  </si>
  <si>
    <t>031101</t>
  </si>
  <si>
    <t xml:space="preserve">MAINE ENDWELL </t>
  </si>
  <si>
    <t>031301</t>
  </si>
  <si>
    <t xml:space="preserve">DEPOSIT       </t>
  </si>
  <si>
    <t>031401</t>
  </si>
  <si>
    <t xml:space="preserve">WHITNEY POINT </t>
  </si>
  <si>
    <t>031501</t>
  </si>
  <si>
    <t>UNION-ENDICOTT</t>
  </si>
  <si>
    <t>031502</t>
  </si>
  <si>
    <t>JOHNSON   CITY</t>
  </si>
  <si>
    <t>031601</t>
  </si>
  <si>
    <t xml:space="preserve">VESTAL        </t>
  </si>
  <si>
    <t>031701</t>
  </si>
  <si>
    <t xml:space="preserve">WINDSOR       </t>
  </si>
  <si>
    <t>040204</t>
  </si>
  <si>
    <t xml:space="preserve">WEST VALLEY   </t>
  </si>
  <si>
    <t>040302</t>
  </si>
  <si>
    <t>ALLEGANY-LIMES</t>
  </si>
  <si>
    <t>040901</t>
  </si>
  <si>
    <t xml:space="preserve">ELLICOTTVILLE </t>
  </si>
  <si>
    <t>041101</t>
  </si>
  <si>
    <t xml:space="preserve">FRANKLINVILLE </t>
  </si>
  <si>
    <t>041401</t>
  </si>
  <si>
    <t xml:space="preserve">HINSDALE      </t>
  </si>
  <si>
    <t>042302</t>
  </si>
  <si>
    <t>CATTARAUGUS-LI</t>
  </si>
  <si>
    <t>042400</t>
  </si>
  <si>
    <t xml:space="preserve">OLEAN         </t>
  </si>
  <si>
    <t>042801</t>
  </si>
  <si>
    <t xml:space="preserve">GOWANDA       </t>
  </si>
  <si>
    <t>042901</t>
  </si>
  <si>
    <t xml:space="preserve">PORTVILLE     </t>
  </si>
  <si>
    <t>043001</t>
  </si>
  <si>
    <t xml:space="preserve">RANDOLPH      </t>
  </si>
  <si>
    <t>043200</t>
  </si>
  <si>
    <t xml:space="preserve">SALAMANCA     </t>
  </si>
  <si>
    <t>043501</t>
  </si>
  <si>
    <t>YORKSHRE-PIONE</t>
  </si>
  <si>
    <t>050100</t>
  </si>
  <si>
    <t xml:space="preserve">AUBURN        </t>
  </si>
  <si>
    <t>Central New York</t>
  </si>
  <si>
    <t>050301</t>
  </si>
  <si>
    <t xml:space="preserve">WEEDSPORT     </t>
  </si>
  <si>
    <t>050401</t>
  </si>
  <si>
    <t xml:space="preserve">CATO MERIDIAN </t>
  </si>
  <si>
    <t>050701</t>
  </si>
  <si>
    <t>SOUTHERN CAYUG</t>
  </si>
  <si>
    <t>051101</t>
  </si>
  <si>
    <t xml:space="preserve">PORT BYRON    </t>
  </si>
  <si>
    <t>051301</t>
  </si>
  <si>
    <t xml:space="preserve">MORAVIA       </t>
  </si>
  <si>
    <t>051901</t>
  </si>
  <si>
    <t xml:space="preserve">UNION SPRINGS </t>
  </si>
  <si>
    <t>060201</t>
  </si>
  <si>
    <t xml:space="preserve">SOUTHWESTERN  </t>
  </si>
  <si>
    <t>060301</t>
  </si>
  <si>
    <t xml:space="preserve">FREWSBURG     </t>
  </si>
  <si>
    <t>060401</t>
  </si>
  <si>
    <t>CASSADAGA VALL</t>
  </si>
  <si>
    <t>060503</t>
  </si>
  <si>
    <t xml:space="preserve">CHAUTAUQUA    </t>
  </si>
  <si>
    <t>060601</t>
  </si>
  <si>
    <t xml:space="preserve">PINE VALLEY   </t>
  </si>
  <si>
    <t>060701</t>
  </si>
  <si>
    <t xml:space="preserve">CLYMER        </t>
  </si>
  <si>
    <t>060800</t>
  </si>
  <si>
    <t xml:space="preserve">DUNKIRK       </t>
  </si>
  <si>
    <t>061001</t>
  </si>
  <si>
    <t xml:space="preserve">BEMUS POINT   </t>
  </si>
  <si>
    <t>061101</t>
  </si>
  <si>
    <t xml:space="preserve">FALCONER      </t>
  </si>
  <si>
    <t>061501</t>
  </si>
  <si>
    <t xml:space="preserve">SILVER CREEK  </t>
  </si>
  <si>
    <t>061503</t>
  </si>
  <si>
    <t xml:space="preserve">FORESTVILLE   </t>
  </si>
  <si>
    <t>061601</t>
  </si>
  <si>
    <t xml:space="preserve">PANAMA        </t>
  </si>
  <si>
    <t>061700</t>
  </si>
  <si>
    <t xml:space="preserve">JAMESTOWN     </t>
  </si>
  <si>
    <t>062201</t>
  </si>
  <si>
    <t xml:space="preserve">FREDONIA      </t>
  </si>
  <si>
    <t>062301</t>
  </si>
  <si>
    <t xml:space="preserve">BROCTON       </t>
  </si>
  <si>
    <t>062401</t>
  </si>
  <si>
    <t xml:space="preserve">RIPLEY        </t>
  </si>
  <si>
    <t>062601</t>
  </si>
  <si>
    <t xml:space="preserve">SHERMAN       </t>
  </si>
  <si>
    <t>062901</t>
  </si>
  <si>
    <t xml:space="preserve">WESTFIELD     </t>
  </si>
  <si>
    <t>070600</t>
  </si>
  <si>
    <t xml:space="preserve">ELMIRA        </t>
  </si>
  <si>
    <t>070901</t>
  </si>
  <si>
    <t xml:space="preserve">HORSEHEADS    </t>
  </si>
  <si>
    <t>070902</t>
  </si>
  <si>
    <t>ELMIRA HEIGHTS</t>
  </si>
  <si>
    <t>080101</t>
  </si>
  <si>
    <t xml:space="preserve">AFTON         </t>
  </si>
  <si>
    <t>080201</t>
  </si>
  <si>
    <t>BAINBRIDGE GUI</t>
  </si>
  <si>
    <t>080601</t>
  </si>
  <si>
    <t xml:space="preserve">GREENE        </t>
  </si>
  <si>
    <t>081003</t>
  </si>
  <si>
    <t xml:space="preserve">UNADILLA      </t>
  </si>
  <si>
    <t>081200</t>
  </si>
  <si>
    <t xml:space="preserve">NORWICH       </t>
  </si>
  <si>
    <t>081401</t>
  </si>
  <si>
    <t>GRGETWN-SO OTS</t>
  </si>
  <si>
    <t>081501</t>
  </si>
  <si>
    <t xml:space="preserve">OXFORD        </t>
  </si>
  <si>
    <t>082001</t>
  </si>
  <si>
    <t>SHERBURNE EARL</t>
  </si>
  <si>
    <t>090201</t>
  </si>
  <si>
    <t>AUSABLE VALLEY</t>
  </si>
  <si>
    <t>North Country</t>
  </si>
  <si>
    <t>090301</t>
  </si>
  <si>
    <t xml:space="preserve">BEEKMANTOWN   </t>
  </si>
  <si>
    <t>090501</t>
  </si>
  <si>
    <t xml:space="preserve">NORTHEASTERN  </t>
  </si>
  <si>
    <t>090601</t>
  </si>
  <si>
    <t xml:space="preserve">CHAZY         </t>
  </si>
  <si>
    <t>090901</t>
  </si>
  <si>
    <t>NORTHRN ADIRON</t>
  </si>
  <si>
    <t>091101</t>
  </si>
  <si>
    <t xml:space="preserve">PERU          </t>
  </si>
  <si>
    <t>091200</t>
  </si>
  <si>
    <t xml:space="preserve">PLATTSBURGH   </t>
  </si>
  <si>
    <t>091402</t>
  </si>
  <si>
    <t xml:space="preserve">SARANAC       </t>
  </si>
  <si>
    <t>100501</t>
  </si>
  <si>
    <t>COPAKE-TACONIC</t>
  </si>
  <si>
    <t>100902</t>
  </si>
  <si>
    <t xml:space="preserve">GERMANTOWN    </t>
  </si>
  <si>
    <t>101001</t>
  </si>
  <si>
    <t xml:space="preserve">CHATHAM       </t>
  </si>
  <si>
    <t>101300</t>
  </si>
  <si>
    <t>101401</t>
  </si>
  <si>
    <t>101601</t>
  </si>
  <si>
    <t xml:space="preserve">NEW LEBANON   </t>
  </si>
  <si>
    <t>110101</t>
  </si>
  <si>
    <t xml:space="preserve">CINCINNATUS   </t>
  </si>
  <si>
    <t>110200</t>
  </si>
  <si>
    <t xml:space="preserve">CORTLAND      </t>
  </si>
  <si>
    <t>110304</t>
  </si>
  <si>
    <t xml:space="preserve">MCGRAW        </t>
  </si>
  <si>
    <t>110701</t>
  </si>
  <si>
    <t xml:space="preserve">HOMER         </t>
  </si>
  <si>
    <t>110901</t>
  </si>
  <si>
    <t xml:space="preserve">MARATHON      </t>
  </si>
  <si>
    <t>120102</t>
  </si>
  <si>
    <t xml:space="preserve">ANDES         </t>
  </si>
  <si>
    <t>120301</t>
  </si>
  <si>
    <t xml:space="preserve">DOWNSVILLE    </t>
  </si>
  <si>
    <t>120401</t>
  </si>
  <si>
    <t>CHARLOTTE VALL</t>
  </si>
  <si>
    <t>120501</t>
  </si>
  <si>
    <t xml:space="preserve">DELHI         </t>
  </si>
  <si>
    <t>120701</t>
  </si>
  <si>
    <t xml:space="preserve">FRANKLIN      </t>
  </si>
  <si>
    <t>120906</t>
  </si>
  <si>
    <t xml:space="preserve">HANCOCK       </t>
  </si>
  <si>
    <t>121401</t>
  </si>
  <si>
    <t xml:space="preserve">MARGARETVILLE </t>
  </si>
  <si>
    <t>121502</t>
  </si>
  <si>
    <t xml:space="preserve">ROXBURY       </t>
  </si>
  <si>
    <t>121601</t>
  </si>
  <si>
    <t xml:space="preserve">SIDNEY        </t>
  </si>
  <si>
    <t>121701</t>
  </si>
  <si>
    <t xml:space="preserve">STAMFORD      </t>
  </si>
  <si>
    <t>121702</t>
  </si>
  <si>
    <t xml:space="preserve">S. KORTRIGHT  </t>
  </si>
  <si>
    <t>121901</t>
  </si>
  <si>
    <t xml:space="preserve">WALTON        </t>
  </si>
  <si>
    <t>130200</t>
  </si>
  <si>
    <t xml:space="preserve">BEACON        </t>
  </si>
  <si>
    <t>Hudson Valley</t>
  </si>
  <si>
    <t>130502</t>
  </si>
  <si>
    <t xml:space="preserve">DOVER         </t>
  </si>
  <si>
    <t>130801</t>
  </si>
  <si>
    <t xml:space="preserve">HYDE PARK     </t>
  </si>
  <si>
    <t>131101</t>
  </si>
  <si>
    <t xml:space="preserve">NORTHEAST     </t>
  </si>
  <si>
    <t>131201</t>
  </si>
  <si>
    <t xml:space="preserve">PAWLING       </t>
  </si>
  <si>
    <t>131301</t>
  </si>
  <si>
    <t xml:space="preserve">PINE PLAINS   </t>
  </si>
  <si>
    <t>131500</t>
  </si>
  <si>
    <t xml:space="preserve">POUGHKEEPSIE  </t>
  </si>
  <si>
    <t>131601</t>
  </si>
  <si>
    <t xml:space="preserve">ARLINGTON     </t>
  </si>
  <si>
    <t>131602</t>
  </si>
  <si>
    <t xml:space="preserve">SPACKENKILL   </t>
  </si>
  <si>
    <t>131701</t>
  </si>
  <si>
    <t xml:space="preserve">RED HOOK      </t>
  </si>
  <si>
    <t>131801</t>
  </si>
  <si>
    <t xml:space="preserve">RHINEBECK     </t>
  </si>
  <si>
    <t>132101</t>
  </si>
  <si>
    <t xml:space="preserve">WAPPINGERS    </t>
  </si>
  <si>
    <t>132201</t>
  </si>
  <si>
    <t xml:space="preserve">MILLBROOK     </t>
  </si>
  <si>
    <t>140101</t>
  </si>
  <si>
    <t xml:space="preserve">ALDEN         </t>
  </si>
  <si>
    <t>140201</t>
  </si>
  <si>
    <t xml:space="preserve">AMHERST       </t>
  </si>
  <si>
    <t>140203</t>
  </si>
  <si>
    <t xml:space="preserve">WILLIAMSVILLE </t>
  </si>
  <si>
    <t>140207</t>
  </si>
  <si>
    <t xml:space="preserve">SWEET HOME    </t>
  </si>
  <si>
    <t>140301</t>
  </si>
  <si>
    <t xml:space="preserve">EAST AURORA   </t>
  </si>
  <si>
    <t>140600</t>
  </si>
  <si>
    <t xml:space="preserve">BUFFALO       </t>
  </si>
  <si>
    <t>140701</t>
  </si>
  <si>
    <t xml:space="preserve">CHEEKTOWAGA   </t>
  </si>
  <si>
    <t>140702</t>
  </si>
  <si>
    <t xml:space="preserve">MARYVALE      </t>
  </si>
  <si>
    <t>140703</t>
  </si>
  <si>
    <t>CLEVELAND HILL</t>
  </si>
  <si>
    <t>140707</t>
  </si>
  <si>
    <t xml:space="preserve">DEPEW         </t>
  </si>
  <si>
    <t>140709</t>
  </si>
  <si>
    <t xml:space="preserve">SLOAN         </t>
  </si>
  <si>
    <t>140801</t>
  </si>
  <si>
    <t xml:space="preserve">CLARENCE      </t>
  </si>
  <si>
    <t>141101</t>
  </si>
  <si>
    <t>SPRINGVILLE-GR</t>
  </si>
  <si>
    <t>141201</t>
  </si>
  <si>
    <t xml:space="preserve">EDEN          </t>
  </si>
  <si>
    <t>141301</t>
  </si>
  <si>
    <t xml:space="preserve">IROQUOIS      </t>
  </si>
  <si>
    <t>141401</t>
  </si>
  <si>
    <t xml:space="preserve">EVANS-BRANT   </t>
  </si>
  <si>
    <t>141501</t>
  </si>
  <si>
    <t xml:space="preserve">GRAND ISLAND  </t>
  </si>
  <si>
    <t>141601</t>
  </si>
  <si>
    <t xml:space="preserve">HAMBURG       </t>
  </si>
  <si>
    <t>141604</t>
  </si>
  <si>
    <t xml:space="preserve">FRONTIER      </t>
  </si>
  <si>
    <t>141701</t>
  </si>
  <si>
    <t xml:space="preserve">HOLLAND       </t>
  </si>
  <si>
    <t>141800</t>
  </si>
  <si>
    <t xml:space="preserve">LACKAWANNA    </t>
  </si>
  <si>
    <t>141901</t>
  </si>
  <si>
    <t xml:space="preserve">LANCASTER     </t>
  </si>
  <si>
    <t>142101</t>
  </si>
  <si>
    <t xml:space="preserve">AKRON         </t>
  </si>
  <si>
    <t>142201</t>
  </si>
  <si>
    <t xml:space="preserve">NORTH COLLINS </t>
  </si>
  <si>
    <t>142301</t>
  </si>
  <si>
    <t xml:space="preserve">ORCHARD PARK  </t>
  </si>
  <si>
    <t>142500</t>
  </si>
  <si>
    <t xml:space="preserve">TONAWANDA     </t>
  </si>
  <si>
    <t>142601</t>
  </si>
  <si>
    <t xml:space="preserve">KENMORE       </t>
  </si>
  <si>
    <t>142801</t>
  </si>
  <si>
    <t xml:space="preserve">WEST SENECA   </t>
  </si>
  <si>
    <t>150203</t>
  </si>
  <si>
    <t xml:space="preserve">CROWN POINT   </t>
  </si>
  <si>
    <t>150601</t>
  </si>
  <si>
    <t xml:space="preserve">KEENE         </t>
  </si>
  <si>
    <t>150801</t>
  </si>
  <si>
    <t xml:space="preserve">MINERVA       </t>
  </si>
  <si>
    <t>150901</t>
  </si>
  <si>
    <t xml:space="preserve">MORIAH        </t>
  </si>
  <si>
    <t>151001</t>
  </si>
  <si>
    <t xml:space="preserve">NEWCOMB       </t>
  </si>
  <si>
    <t>151102</t>
  </si>
  <si>
    <t xml:space="preserve">LAKE PLACID   </t>
  </si>
  <si>
    <t>151401</t>
  </si>
  <si>
    <t xml:space="preserve">SCHROON LAKE  </t>
  </si>
  <si>
    <t>151501</t>
  </si>
  <si>
    <t xml:space="preserve">TICONDEROGA   </t>
  </si>
  <si>
    <t>151701</t>
  </si>
  <si>
    <t xml:space="preserve">WILLSBORO     </t>
  </si>
  <si>
    <t>160101</t>
  </si>
  <si>
    <t xml:space="preserve">TUPPER LAKE   </t>
  </si>
  <si>
    <t>160801</t>
  </si>
  <si>
    <t xml:space="preserve">CHATEAUGAY    </t>
  </si>
  <si>
    <t>161201</t>
  </si>
  <si>
    <t xml:space="preserve">SALMON RIVER  </t>
  </si>
  <si>
    <t>161401</t>
  </si>
  <si>
    <t xml:space="preserve">SARANAC LAKE  </t>
  </si>
  <si>
    <t>161501</t>
  </si>
  <si>
    <t xml:space="preserve">MALONE        </t>
  </si>
  <si>
    <t>161601</t>
  </si>
  <si>
    <t>BRUSHTON MOIRA</t>
  </si>
  <si>
    <t>161801</t>
  </si>
  <si>
    <t>ST REGIS FALLS</t>
  </si>
  <si>
    <t>170301</t>
  </si>
  <si>
    <t xml:space="preserve">WHEELERVILLE  </t>
  </si>
  <si>
    <t>Mohawk Valley</t>
  </si>
  <si>
    <t>170500</t>
  </si>
  <si>
    <t xml:space="preserve">GLOVERSVILLE  </t>
  </si>
  <si>
    <t>170600</t>
  </si>
  <si>
    <t xml:space="preserve">JOHNSTOWN     </t>
  </si>
  <si>
    <t>170801</t>
  </si>
  <si>
    <t xml:space="preserve">MAYFIELD      </t>
  </si>
  <si>
    <t>170901</t>
  </si>
  <si>
    <t xml:space="preserve">NORTHVILLE    </t>
  </si>
  <si>
    <t>171102</t>
  </si>
  <si>
    <t>BROADALBIN-PER</t>
  </si>
  <si>
    <t>180202</t>
  </si>
  <si>
    <t xml:space="preserve">ALEXANDER     </t>
  </si>
  <si>
    <t>Finger Lakes</t>
  </si>
  <si>
    <t>180300</t>
  </si>
  <si>
    <t xml:space="preserve">BATAVIA       </t>
  </si>
  <si>
    <t>180701</t>
  </si>
  <si>
    <t xml:space="preserve">BYRON BERGEN  </t>
  </si>
  <si>
    <t>180901</t>
  </si>
  <si>
    <t xml:space="preserve">ELBA          </t>
  </si>
  <si>
    <t>181001</t>
  </si>
  <si>
    <t xml:space="preserve">LE ROY        </t>
  </si>
  <si>
    <t>181101</t>
  </si>
  <si>
    <t>OAKFIELD ALABA</t>
  </si>
  <si>
    <t>181201</t>
  </si>
  <si>
    <t xml:space="preserve">PAVILION      </t>
  </si>
  <si>
    <t>181302</t>
  </si>
  <si>
    <t xml:space="preserve">PEMBROKE      </t>
  </si>
  <si>
    <t>190301</t>
  </si>
  <si>
    <t xml:space="preserve">CAIRO-DURHAM  </t>
  </si>
  <si>
    <t>190401</t>
  </si>
  <si>
    <t xml:space="preserve">CATSKILL      </t>
  </si>
  <si>
    <t>190501</t>
  </si>
  <si>
    <t>COXSACKIE ATHE</t>
  </si>
  <si>
    <t>190701</t>
  </si>
  <si>
    <t xml:space="preserve">GREENVILLE    </t>
  </si>
  <si>
    <t>190901</t>
  </si>
  <si>
    <t>HUNTER TANNERS</t>
  </si>
  <si>
    <t>191401</t>
  </si>
  <si>
    <t>WINDHAM ASHLAN</t>
  </si>
  <si>
    <t>200401</t>
  </si>
  <si>
    <t xml:space="preserve">INDIAN LAKE   </t>
  </si>
  <si>
    <t>200601</t>
  </si>
  <si>
    <t xml:space="preserve">LAKE PLEASANT </t>
  </si>
  <si>
    <t>200701</t>
  </si>
  <si>
    <t xml:space="preserve">LONG LAKE     </t>
  </si>
  <si>
    <t>200901</t>
  </si>
  <si>
    <t xml:space="preserve">WELLS         </t>
  </si>
  <si>
    <t>210302</t>
  </si>
  <si>
    <t>WEST CANADA VA</t>
  </si>
  <si>
    <t>210402</t>
  </si>
  <si>
    <t>FRANKFORT-SCHU</t>
  </si>
  <si>
    <t>210601</t>
  </si>
  <si>
    <t>210800</t>
  </si>
  <si>
    <t xml:space="preserve">LITTLE FALLS  </t>
  </si>
  <si>
    <t>211003</t>
  </si>
  <si>
    <t>211103</t>
  </si>
  <si>
    <t xml:space="preserve">POLAND        </t>
  </si>
  <si>
    <t>211701</t>
  </si>
  <si>
    <t>VAN HORNSVILLE</t>
  </si>
  <si>
    <t>211901</t>
  </si>
  <si>
    <t xml:space="preserve">TOWN OF WEBB  </t>
  </si>
  <si>
    <t>212001</t>
  </si>
  <si>
    <t>MT MARKHAM CSD</t>
  </si>
  <si>
    <t>212101</t>
  </si>
  <si>
    <t>CENTRAL VALLEY</t>
  </si>
  <si>
    <t>220101</t>
  </si>
  <si>
    <t xml:space="preserve">S. JEFFERSON  </t>
  </si>
  <si>
    <t>220202</t>
  </si>
  <si>
    <t xml:space="preserve">ALEXANDRIA    </t>
  </si>
  <si>
    <t>220301</t>
  </si>
  <si>
    <t xml:space="preserve">INDIAN RIVER  </t>
  </si>
  <si>
    <t>220401</t>
  </si>
  <si>
    <t xml:space="preserve">GENERAL BROWN </t>
  </si>
  <si>
    <t>220701</t>
  </si>
  <si>
    <t>THOUSAND ISLAN</t>
  </si>
  <si>
    <t>220909</t>
  </si>
  <si>
    <t>BELLEVILLE-HEN</t>
  </si>
  <si>
    <t>221001</t>
  </si>
  <si>
    <t>SACKETS HARBOR</t>
  </si>
  <si>
    <t>221301</t>
  </si>
  <si>
    <t xml:space="preserve">LYME          </t>
  </si>
  <si>
    <t>221401</t>
  </si>
  <si>
    <t xml:space="preserve">LA FARGEVILLE </t>
  </si>
  <si>
    <t>222000</t>
  </si>
  <si>
    <t xml:space="preserve">WATERTOWN     </t>
  </si>
  <si>
    <t>222201</t>
  </si>
  <si>
    <t xml:space="preserve">CARTHAGE      </t>
  </si>
  <si>
    <t>230201</t>
  </si>
  <si>
    <t xml:space="preserve">COPENHAGEN    </t>
  </si>
  <si>
    <t>230301</t>
  </si>
  <si>
    <t xml:space="preserve">HARRISVILLE   </t>
  </si>
  <si>
    <t>230901</t>
  </si>
  <si>
    <t xml:space="preserve">LOWVILLE      </t>
  </si>
  <si>
    <t>231101</t>
  </si>
  <si>
    <t xml:space="preserve">SOUTH LEWIS   </t>
  </si>
  <si>
    <t>231301</t>
  </si>
  <si>
    <t xml:space="preserve">BEAVER RIVER  </t>
  </si>
  <si>
    <t>240101</t>
  </si>
  <si>
    <t xml:space="preserve">AVON          </t>
  </si>
  <si>
    <t>240201</t>
  </si>
  <si>
    <t>CALEDONIA MUMF</t>
  </si>
  <si>
    <t>240401</t>
  </si>
  <si>
    <t xml:space="preserve">GENESEO       </t>
  </si>
  <si>
    <t>240801</t>
  </si>
  <si>
    <t xml:space="preserve">LIVONIA       </t>
  </si>
  <si>
    <t>240901</t>
  </si>
  <si>
    <t>241001</t>
  </si>
  <si>
    <t xml:space="preserve">DANSVILLE     </t>
  </si>
  <si>
    <t>241101</t>
  </si>
  <si>
    <t xml:space="preserve">DALTON-NUNDA  </t>
  </si>
  <si>
    <t>241701</t>
  </si>
  <si>
    <t xml:space="preserve">YORK          </t>
  </si>
  <si>
    <t>250109</t>
  </si>
  <si>
    <t xml:space="preserve">BROOKFIELD    </t>
  </si>
  <si>
    <t>250201</t>
  </si>
  <si>
    <t xml:space="preserve">CAZENOVIA     </t>
  </si>
  <si>
    <t>250301</t>
  </si>
  <si>
    <t xml:space="preserve">DE RUYTER     </t>
  </si>
  <si>
    <t>250401</t>
  </si>
  <si>
    <t>MORRISVILLE EA</t>
  </si>
  <si>
    <t>250701</t>
  </si>
  <si>
    <t xml:space="preserve">HAMILTON      </t>
  </si>
  <si>
    <t>250901</t>
  </si>
  <si>
    <t>251101</t>
  </si>
  <si>
    <t xml:space="preserve">MADISON       </t>
  </si>
  <si>
    <t>251400</t>
  </si>
  <si>
    <t>251501</t>
  </si>
  <si>
    <t>STOCKBRIDGE VA</t>
  </si>
  <si>
    <t>251601</t>
  </si>
  <si>
    <t xml:space="preserve">CHITTENANGO   </t>
  </si>
  <si>
    <t>260101</t>
  </si>
  <si>
    <t xml:space="preserve">BRIGHTON      </t>
  </si>
  <si>
    <t>260401</t>
  </si>
  <si>
    <t xml:space="preserve">GATES CHILI   </t>
  </si>
  <si>
    <t>260501</t>
  </si>
  <si>
    <t xml:space="preserve">GREECE        </t>
  </si>
  <si>
    <t>260801</t>
  </si>
  <si>
    <t>E. IRONDEQUOIT</t>
  </si>
  <si>
    <t>260803</t>
  </si>
  <si>
    <t>W. IRONDEQUOIT</t>
  </si>
  <si>
    <t>260901</t>
  </si>
  <si>
    <t xml:space="preserve">HONEOYE FALLS </t>
  </si>
  <si>
    <t>261001</t>
  </si>
  <si>
    <t xml:space="preserve">SPENCERPORT   </t>
  </si>
  <si>
    <t>261101</t>
  </si>
  <si>
    <t xml:space="preserve">HILTON        </t>
  </si>
  <si>
    <t>261201</t>
  </si>
  <si>
    <t xml:space="preserve">PENFIELD      </t>
  </si>
  <si>
    <t>261301</t>
  </si>
  <si>
    <t xml:space="preserve">FAIRPORT      </t>
  </si>
  <si>
    <t>261313</t>
  </si>
  <si>
    <t>EAST ROCHESTER</t>
  </si>
  <si>
    <t>261401</t>
  </si>
  <si>
    <t xml:space="preserve">PITTSFORD     </t>
  </si>
  <si>
    <t>261501</t>
  </si>
  <si>
    <t>CHURCHVILLE CH</t>
  </si>
  <si>
    <t>261600</t>
  </si>
  <si>
    <t xml:space="preserve">ROCHESTER     </t>
  </si>
  <si>
    <t>261701</t>
  </si>
  <si>
    <t>RUSH HENRIETTA</t>
  </si>
  <si>
    <t>261801</t>
  </si>
  <si>
    <t xml:space="preserve">BROCKPORT     </t>
  </si>
  <si>
    <t>261901</t>
  </si>
  <si>
    <t xml:space="preserve">WEBSTER       </t>
  </si>
  <si>
    <t>262001</t>
  </si>
  <si>
    <t>WHEATLAND CHIL</t>
  </si>
  <si>
    <t>270100</t>
  </si>
  <si>
    <t xml:space="preserve">AMSTERDAM     </t>
  </si>
  <si>
    <t>270301</t>
  </si>
  <si>
    <t xml:space="preserve">CANAJOHARIE   </t>
  </si>
  <si>
    <t>270601</t>
  </si>
  <si>
    <t>FONDA FULTONVI</t>
  </si>
  <si>
    <t>270701</t>
  </si>
  <si>
    <t xml:space="preserve">FORT PLAIN    </t>
  </si>
  <si>
    <t>271201</t>
  </si>
  <si>
    <t>OP-EPH-ST JHNS</t>
  </si>
  <si>
    <t>280100</t>
  </si>
  <si>
    <t xml:space="preserve">GLEN COVE     </t>
  </si>
  <si>
    <t>Long Island</t>
  </si>
  <si>
    <t>280201</t>
  </si>
  <si>
    <t xml:space="preserve">HEMPSTEAD     </t>
  </si>
  <si>
    <t>280202</t>
  </si>
  <si>
    <t xml:space="preserve">UNIONDALE     </t>
  </si>
  <si>
    <t>280203</t>
  </si>
  <si>
    <t xml:space="preserve">EAST MEADOW   </t>
  </si>
  <si>
    <t>280204</t>
  </si>
  <si>
    <t>NORTH BELLMORE</t>
  </si>
  <si>
    <t>280205</t>
  </si>
  <si>
    <t xml:space="preserve">LEVITTOWN     </t>
  </si>
  <si>
    <t>280206</t>
  </si>
  <si>
    <t xml:space="preserve">SEAFORD       </t>
  </si>
  <si>
    <t>280207</t>
  </si>
  <si>
    <t xml:space="preserve">BELLMORE      </t>
  </si>
  <si>
    <t>280208</t>
  </si>
  <si>
    <t xml:space="preserve">ROOSEVELT     </t>
  </si>
  <si>
    <t>280209</t>
  </si>
  <si>
    <t xml:space="preserve">FREEPORT      </t>
  </si>
  <si>
    <t>280210</t>
  </si>
  <si>
    <t xml:space="preserve">BALDWIN       </t>
  </si>
  <si>
    <t>280211</t>
  </si>
  <si>
    <t xml:space="preserve">OCEANSIDE     </t>
  </si>
  <si>
    <t>280212</t>
  </si>
  <si>
    <t xml:space="preserve">MALVERNE      </t>
  </si>
  <si>
    <t>280213</t>
  </si>
  <si>
    <t>V STR THIRTEEN</t>
  </si>
  <si>
    <t>280214</t>
  </si>
  <si>
    <t>HEWLETT WOODME</t>
  </si>
  <si>
    <t>280215</t>
  </si>
  <si>
    <t xml:space="preserve">LAWRENCE      </t>
  </si>
  <si>
    <t>280216</t>
  </si>
  <si>
    <t xml:space="preserve">ELMONT        </t>
  </si>
  <si>
    <t>280217</t>
  </si>
  <si>
    <t>FRANKLIN SQUAR</t>
  </si>
  <si>
    <t>280218</t>
  </si>
  <si>
    <t xml:space="preserve">GARDEN CITY   </t>
  </si>
  <si>
    <t>280219</t>
  </si>
  <si>
    <t xml:space="preserve">EAST ROCKAWAY </t>
  </si>
  <si>
    <t>280220</t>
  </si>
  <si>
    <t xml:space="preserve">LYNBROOK      </t>
  </si>
  <si>
    <t>280221</t>
  </si>
  <si>
    <t>ROCKVILLE CENT</t>
  </si>
  <si>
    <t>280222</t>
  </si>
  <si>
    <t xml:space="preserve">FLORAL PARK   </t>
  </si>
  <si>
    <t>280223</t>
  </si>
  <si>
    <t xml:space="preserve">WANTAGH       </t>
  </si>
  <si>
    <t>280224</t>
  </si>
  <si>
    <t>V STR TWENTY-F</t>
  </si>
  <si>
    <t>280225</t>
  </si>
  <si>
    <t xml:space="preserve">MERRICK       </t>
  </si>
  <si>
    <t>280226</t>
  </si>
  <si>
    <t xml:space="preserve">ISLAND TREES  </t>
  </si>
  <si>
    <t>280227</t>
  </si>
  <si>
    <t>WEST HEMPSTEAD</t>
  </si>
  <si>
    <t>280229</t>
  </si>
  <si>
    <t xml:space="preserve">NORTH MERRICK </t>
  </si>
  <si>
    <t>280230</t>
  </si>
  <si>
    <t xml:space="preserve">VALLEY STR UF </t>
  </si>
  <si>
    <t>280231</t>
  </si>
  <si>
    <t xml:space="preserve">ISLAND PARK   </t>
  </si>
  <si>
    <t>280251</t>
  </si>
  <si>
    <t>VALLEY STR CHS</t>
  </si>
  <si>
    <t>280252</t>
  </si>
  <si>
    <t xml:space="preserve">SEWANHAKA     </t>
  </si>
  <si>
    <t>280253</t>
  </si>
  <si>
    <t>BELLMORE-MERRI</t>
  </si>
  <si>
    <t>280300</t>
  </si>
  <si>
    <t xml:space="preserve">LONG BEACH    </t>
  </si>
  <si>
    <t>280401</t>
  </si>
  <si>
    <t xml:space="preserve">WESTBURY      </t>
  </si>
  <si>
    <t>280402</t>
  </si>
  <si>
    <t>EAST WILLISTON</t>
  </si>
  <si>
    <t>280403</t>
  </si>
  <si>
    <t xml:space="preserve">ROSLYN        </t>
  </si>
  <si>
    <t>280404</t>
  </si>
  <si>
    <t>PORT WASHINGTO</t>
  </si>
  <si>
    <t>280405</t>
  </si>
  <si>
    <t xml:space="preserve">NEW HYDE PARK </t>
  </si>
  <si>
    <t>280406</t>
  </si>
  <si>
    <t xml:space="preserve">MANHASSET     </t>
  </si>
  <si>
    <t>280407</t>
  </si>
  <si>
    <t xml:space="preserve">GREAT NECK    </t>
  </si>
  <si>
    <t>280409</t>
  </si>
  <si>
    <t xml:space="preserve">HERRICKS      </t>
  </si>
  <si>
    <t>280410</t>
  </si>
  <si>
    <t xml:space="preserve">MINEOLA       </t>
  </si>
  <si>
    <t>280411</t>
  </si>
  <si>
    <t xml:space="preserve">CARLE PLACE   </t>
  </si>
  <si>
    <t>280501</t>
  </si>
  <si>
    <t xml:space="preserve">NORTH SHORE   </t>
  </si>
  <si>
    <t>280502</t>
  </si>
  <si>
    <t xml:space="preserve">SYOSSET       </t>
  </si>
  <si>
    <t>280503</t>
  </si>
  <si>
    <t xml:space="preserve">LOCUST VALLEY </t>
  </si>
  <si>
    <t>280504</t>
  </si>
  <si>
    <t xml:space="preserve">PLAINVIEW     </t>
  </si>
  <si>
    <t>280506</t>
  </si>
  <si>
    <t xml:space="preserve">OYSTER BAY    </t>
  </si>
  <si>
    <t>280515</t>
  </si>
  <si>
    <t xml:space="preserve">JERICHO       </t>
  </si>
  <si>
    <t>280517</t>
  </si>
  <si>
    <t xml:space="preserve">HICKSVILLE    </t>
  </si>
  <si>
    <t>280518</t>
  </si>
  <si>
    <t xml:space="preserve">PLAINEDGE     </t>
  </si>
  <si>
    <t>280521</t>
  </si>
  <si>
    <t xml:space="preserve">BETHPAGE      </t>
  </si>
  <si>
    <t>280522</t>
  </si>
  <si>
    <t xml:space="preserve">FARMINGDALE   </t>
  </si>
  <si>
    <t>280523</t>
  </si>
  <si>
    <t xml:space="preserve">MASSAPEQUA    </t>
  </si>
  <si>
    <t>300000</t>
  </si>
  <si>
    <t xml:space="preserve">NEW YORK CITY </t>
  </si>
  <si>
    <t>New York City</t>
  </si>
  <si>
    <t>400301</t>
  </si>
  <si>
    <t>LEWISTON PORTE</t>
  </si>
  <si>
    <t xml:space="preserve">LOCKPORT      </t>
  </si>
  <si>
    <t>400601</t>
  </si>
  <si>
    <t xml:space="preserve">NEWFANE       </t>
  </si>
  <si>
    <t>400701</t>
  </si>
  <si>
    <t>NIAGARA WHEATF</t>
  </si>
  <si>
    <t>400800</t>
  </si>
  <si>
    <t xml:space="preserve">NIAGARA FALLS </t>
  </si>
  <si>
    <t>400900</t>
  </si>
  <si>
    <t xml:space="preserve">N. TONAWANDA  </t>
  </si>
  <si>
    <t>401001</t>
  </si>
  <si>
    <t xml:space="preserve">STARPOINT     </t>
  </si>
  <si>
    <t>401201</t>
  </si>
  <si>
    <t>ROYALTON HARTL</t>
  </si>
  <si>
    <t>401301</t>
  </si>
  <si>
    <t xml:space="preserve">BARKER        </t>
  </si>
  <si>
    <t>401501</t>
  </si>
  <si>
    <t xml:space="preserve">WILSON        </t>
  </si>
  <si>
    <t>410401</t>
  </si>
  <si>
    <t xml:space="preserve">ADIRONDACK    </t>
  </si>
  <si>
    <t>410601</t>
  </si>
  <si>
    <t xml:space="preserve">CAMDEN        </t>
  </si>
  <si>
    <t>411101</t>
  </si>
  <si>
    <t xml:space="preserve">CLINTON       </t>
  </si>
  <si>
    <t>411501</t>
  </si>
  <si>
    <t xml:space="preserve">NEW HARTFORD  </t>
  </si>
  <si>
    <t>411504</t>
  </si>
  <si>
    <t>NEW YORK MILLS</t>
  </si>
  <si>
    <t>411603</t>
  </si>
  <si>
    <t>SAUQUOIT VALLE</t>
  </si>
  <si>
    <t>411701</t>
  </si>
  <si>
    <t xml:space="preserve">REMSEN        </t>
  </si>
  <si>
    <t>411800</t>
  </si>
  <si>
    <t xml:space="preserve">ROME          </t>
  </si>
  <si>
    <t>411902</t>
  </si>
  <si>
    <t xml:space="preserve">WATERVILLE    </t>
  </si>
  <si>
    <t>412000</t>
  </si>
  <si>
    <t xml:space="preserve">SHERRILL      </t>
  </si>
  <si>
    <t>412201</t>
  </si>
  <si>
    <t>HOLLAND PATENT</t>
  </si>
  <si>
    <t>412300</t>
  </si>
  <si>
    <t xml:space="preserve">UTICA         </t>
  </si>
  <si>
    <t>412801</t>
  </si>
  <si>
    <t xml:space="preserve">WESTMORELAND  </t>
  </si>
  <si>
    <t>412901</t>
  </si>
  <si>
    <t xml:space="preserve">ORISKANY      </t>
  </si>
  <si>
    <t>412902</t>
  </si>
  <si>
    <t xml:space="preserve">WHITESBORO    </t>
  </si>
  <si>
    <t>420101</t>
  </si>
  <si>
    <t xml:space="preserve">WEST GENESEE  </t>
  </si>
  <si>
    <t>420303</t>
  </si>
  <si>
    <t>NORTH SYRACUSE</t>
  </si>
  <si>
    <t>420401</t>
  </si>
  <si>
    <t>E SYRACUSE-MIN</t>
  </si>
  <si>
    <t>420411</t>
  </si>
  <si>
    <t>JAMESVILLE-DEW</t>
  </si>
  <si>
    <t>420501</t>
  </si>
  <si>
    <t>JORDAN ELBRIDG</t>
  </si>
  <si>
    <t>420601</t>
  </si>
  <si>
    <t xml:space="preserve">FABIUS-POMPEY </t>
  </si>
  <si>
    <t>420701</t>
  </si>
  <si>
    <t xml:space="preserve">WESTHILL      </t>
  </si>
  <si>
    <t>420702</t>
  </si>
  <si>
    <t xml:space="preserve">SOLVAY        </t>
  </si>
  <si>
    <t>420807</t>
  </si>
  <si>
    <t xml:space="preserve">LA FAYETTE    </t>
  </si>
  <si>
    <t>420901</t>
  </si>
  <si>
    <t xml:space="preserve">BALDWINSVILLE </t>
  </si>
  <si>
    <t>421001</t>
  </si>
  <si>
    <t xml:space="preserve">FAYETTEVILLE  </t>
  </si>
  <si>
    <t>421101</t>
  </si>
  <si>
    <t xml:space="preserve">MARCELLUS     </t>
  </si>
  <si>
    <t>421201</t>
  </si>
  <si>
    <t xml:space="preserve">ONONDAGA      </t>
  </si>
  <si>
    <t>421501</t>
  </si>
  <si>
    <t xml:space="preserve">LIVERPOOL     </t>
  </si>
  <si>
    <t>421504</t>
  </si>
  <si>
    <t xml:space="preserve">LYNCOURT      </t>
  </si>
  <si>
    <t>421601</t>
  </si>
  <si>
    <t xml:space="preserve">SKANEATELES   </t>
  </si>
  <si>
    <t>421800</t>
  </si>
  <si>
    <t xml:space="preserve">SYRACUSE      </t>
  </si>
  <si>
    <t>421902</t>
  </si>
  <si>
    <t xml:space="preserve">TULLY         </t>
  </si>
  <si>
    <t>430300</t>
  </si>
  <si>
    <t xml:space="preserve">CANANDAIGUA   </t>
  </si>
  <si>
    <t>430501</t>
  </si>
  <si>
    <t>EAST BLOOMFIEL</t>
  </si>
  <si>
    <t>430700</t>
  </si>
  <si>
    <t xml:space="preserve">GENEVA        </t>
  </si>
  <si>
    <t>430901</t>
  </si>
  <si>
    <t>GORHAM-MIDDLES</t>
  </si>
  <si>
    <t>431101</t>
  </si>
  <si>
    <t>MANCHSTR-SHRTS</t>
  </si>
  <si>
    <t>431201</t>
  </si>
  <si>
    <t xml:space="preserve">NAPLES        </t>
  </si>
  <si>
    <t>431301</t>
  </si>
  <si>
    <t>PHELPS-CLIFTON</t>
  </si>
  <si>
    <t>431401</t>
  </si>
  <si>
    <t xml:space="preserve">HONEOYE       </t>
  </si>
  <si>
    <t>431701</t>
  </si>
  <si>
    <t xml:space="preserve">VICTOR        </t>
  </si>
  <si>
    <t>440102</t>
  </si>
  <si>
    <t>WASHINGTONVILL</t>
  </si>
  <si>
    <t>440201</t>
  </si>
  <si>
    <t xml:space="preserve">CHESTER       </t>
  </si>
  <si>
    <t>440301</t>
  </si>
  <si>
    <t xml:space="preserve">CORNWALL      </t>
  </si>
  <si>
    <t>440401</t>
  </si>
  <si>
    <t xml:space="preserve">PINE BUSH     </t>
  </si>
  <si>
    <t>440601</t>
  </si>
  <si>
    <t xml:space="preserve">GOSHEN        </t>
  </si>
  <si>
    <t>440901</t>
  </si>
  <si>
    <t>HIGHLAND FALLS</t>
  </si>
  <si>
    <t>441000</t>
  </si>
  <si>
    <t xml:space="preserve">MIDDLETOWN    </t>
  </si>
  <si>
    <t>441101</t>
  </si>
  <si>
    <t>MINISINK VALLE</t>
  </si>
  <si>
    <t>441201</t>
  </si>
  <si>
    <t>MONROE WOODBUR</t>
  </si>
  <si>
    <t>441202</t>
  </si>
  <si>
    <t xml:space="preserve">KIRYAS JOEL   </t>
  </si>
  <si>
    <t>441301</t>
  </si>
  <si>
    <t>VALLEY-MONTGMR</t>
  </si>
  <si>
    <t>441600</t>
  </si>
  <si>
    <t xml:space="preserve">NEWBURGH      </t>
  </si>
  <si>
    <t>441800</t>
  </si>
  <si>
    <t xml:space="preserve">PORT JERVIS   </t>
  </si>
  <si>
    <t>441903</t>
  </si>
  <si>
    <t xml:space="preserve">TUXEDO        </t>
  </si>
  <si>
    <t>442101</t>
  </si>
  <si>
    <t>WARWICK VALLEY</t>
  </si>
  <si>
    <t>442111</t>
  </si>
  <si>
    <t>GREENWOOD LAKE</t>
  </si>
  <si>
    <t>442115</t>
  </si>
  <si>
    <t xml:space="preserve">FLORIDA       </t>
  </si>
  <si>
    <t>450101</t>
  </si>
  <si>
    <t xml:space="preserve">ALBION        </t>
  </si>
  <si>
    <t>450607</t>
  </si>
  <si>
    <t xml:space="preserve">KENDALL       </t>
  </si>
  <si>
    <t>450704</t>
  </si>
  <si>
    <t xml:space="preserve">HOLLEY        </t>
  </si>
  <si>
    <t>450801</t>
  </si>
  <si>
    <t xml:space="preserve">MEDINA        </t>
  </si>
  <si>
    <t>451001</t>
  </si>
  <si>
    <t xml:space="preserve">LYNDONVILLE   </t>
  </si>
  <si>
    <t>460102</t>
  </si>
  <si>
    <t xml:space="preserve">ALTMAR PARISH </t>
  </si>
  <si>
    <t>460500</t>
  </si>
  <si>
    <t xml:space="preserve">FULTON        </t>
  </si>
  <si>
    <t>460701</t>
  </si>
  <si>
    <t xml:space="preserve">HANNIBAL      </t>
  </si>
  <si>
    <t>460801</t>
  </si>
  <si>
    <t>CENTRAL SQUARE</t>
  </si>
  <si>
    <t>460901</t>
  </si>
  <si>
    <t xml:space="preserve">MEXICO        </t>
  </si>
  <si>
    <t>461300</t>
  </si>
  <si>
    <t xml:space="preserve">OSWEGO        </t>
  </si>
  <si>
    <t>461801</t>
  </si>
  <si>
    <t xml:space="preserve">PULASKI       </t>
  </si>
  <si>
    <t>461901</t>
  </si>
  <si>
    <t xml:space="preserve">SANDY CREEK   </t>
  </si>
  <si>
    <t>462001</t>
  </si>
  <si>
    <t xml:space="preserve">PHOENIX       </t>
  </si>
  <si>
    <t>470202</t>
  </si>
  <si>
    <t>GLBTSVLLE-MT U</t>
  </si>
  <si>
    <t>470501</t>
  </si>
  <si>
    <t xml:space="preserve">EDMESTON      </t>
  </si>
  <si>
    <t>470801</t>
  </si>
  <si>
    <t xml:space="preserve">LAURENS       </t>
  </si>
  <si>
    <t>470901</t>
  </si>
  <si>
    <t xml:space="preserve">SCHENEVUS     </t>
  </si>
  <si>
    <t>471101</t>
  </si>
  <si>
    <t xml:space="preserve">MILFORD       </t>
  </si>
  <si>
    <t>471201</t>
  </si>
  <si>
    <t xml:space="preserve">MORRIS        </t>
  </si>
  <si>
    <t>471400</t>
  </si>
  <si>
    <t xml:space="preserve">ONEONTA       </t>
  </si>
  <si>
    <t>471601</t>
  </si>
  <si>
    <t>OTEGO-UNADILLA</t>
  </si>
  <si>
    <t>471701</t>
  </si>
  <si>
    <t xml:space="preserve">COOPERSTOWN   </t>
  </si>
  <si>
    <t>472001</t>
  </si>
  <si>
    <t>RICHFIELD SPRI</t>
  </si>
  <si>
    <t>472202</t>
  </si>
  <si>
    <t>CHERRY VLY-SPR</t>
  </si>
  <si>
    <t>472506</t>
  </si>
  <si>
    <t xml:space="preserve">WORCESTER     </t>
  </si>
  <si>
    <t>480101</t>
  </si>
  <si>
    <t xml:space="preserve">MAHOPAC       </t>
  </si>
  <si>
    <t>480102</t>
  </si>
  <si>
    <t xml:space="preserve">CARMEL        </t>
  </si>
  <si>
    <t>480401</t>
  </si>
  <si>
    <t xml:space="preserve">HALDANE       </t>
  </si>
  <si>
    <t>480404</t>
  </si>
  <si>
    <t xml:space="preserve">GARRISON      </t>
  </si>
  <si>
    <t>480503</t>
  </si>
  <si>
    <t xml:space="preserve">PUTNAM VALLEY </t>
  </si>
  <si>
    <t>480601</t>
  </si>
  <si>
    <t xml:space="preserve">BREWSTER      </t>
  </si>
  <si>
    <t>490101</t>
  </si>
  <si>
    <t>490202</t>
  </si>
  <si>
    <t>BRUNSWICK CENT</t>
  </si>
  <si>
    <t>490301</t>
  </si>
  <si>
    <t>EAST GREENBUSH</t>
  </si>
  <si>
    <t>490501</t>
  </si>
  <si>
    <t xml:space="preserve">HOOSICK FALLS </t>
  </si>
  <si>
    <t>490601</t>
  </si>
  <si>
    <t xml:space="preserve">LANSINGBURGH  </t>
  </si>
  <si>
    <t>490804</t>
  </si>
  <si>
    <t xml:space="preserve">WYNANTSKILL   </t>
  </si>
  <si>
    <t>491200</t>
  </si>
  <si>
    <t xml:space="preserve">RENSSELAER    </t>
  </si>
  <si>
    <t>491302</t>
  </si>
  <si>
    <t xml:space="preserve">AVERILL PARK  </t>
  </si>
  <si>
    <t>491401</t>
  </si>
  <si>
    <t xml:space="preserve">HOOSIC VALLEY </t>
  </si>
  <si>
    <t>491501</t>
  </si>
  <si>
    <t xml:space="preserve">SCHODACK      </t>
  </si>
  <si>
    <t>491700</t>
  </si>
  <si>
    <t xml:space="preserve">TROY          </t>
  </si>
  <si>
    <t>500101</t>
  </si>
  <si>
    <t xml:space="preserve">CLARKSTOWN    </t>
  </si>
  <si>
    <t>500108</t>
  </si>
  <si>
    <t xml:space="preserve">NANUET        </t>
  </si>
  <si>
    <t>500201</t>
  </si>
  <si>
    <t xml:space="preserve">HAVERSTRAW-ST </t>
  </si>
  <si>
    <t>500301</t>
  </si>
  <si>
    <t xml:space="preserve">S. ORANGETOWN </t>
  </si>
  <si>
    <t>500304</t>
  </si>
  <si>
    <t xml:space="preserve">NYACK         </t>
  </si>
  <si>
    <t>500308</t>
  </si>
  <si>
    <t xml:space="preserve">PEARL RIVER   </t>
  </si>
  <si>
    <t>500401</t>
  </si>
  <si>
    <t>500402</t>
  </si>
  <si>
    <t xml:space="preserve">EAST RAMAPO   </t>
  </si>
  <si>
    <t>510101</t>
  </si>
  <si>
    <t xml:space="preserve">BRASHER FALLS </t>
  </si>
  <si>
    <t>510201</t>
  </si>
  <si>
    <t xml:space="preserve">CANTON        </t>
  </si>
  <si>
    <t>510401</t>
  </si>
  <si>
    <t xml:space="preserve">CLIFTON FINE  </t>
  </si>
  <si>
    <t>510501</t>
  </si>
  <si>
    <t>COLTON PIERREP</t>
  </si>
  <si>
    <t>511101</t>
  </si>
  <si>
    <t xml:space="preserve">GOUVERNEUR    </t>
  </si>
  <si>
    <t>511201</t>
  </si>
  <si>
    <t xml:space="preserve">HAMMOND       </t>
  </si>
  <si>
    <t>511301</t>
  </si>
  <si>
    <t xml:space="preserve">HERMON DEKALB </t>
  </si>
  <si>
    <t>511602</t>
  </si>
  <si>
    <t xml:space="preserve">LISBON        </t>
  </si>
  <si>
    <t>511901</t>
  </si>
  <si>
    <t>MADRID WADDING</t>
  </si>
  <si>
    <t>512001</t>
  </si>
  <si>
    <t xml:space="preserve">MASSENA       </t>
  </si>
  <si>
    <t>512101</t>
  </si>
  <si>
    <t xml:space="preserve">MORRISTOWN    </t>
  </si>
  <si>
    <t>512201</t>
  </si>
  <si>
    <t>NORWOOD NORFOL</t>
  </si>
  <si>
    <t>512300</t>
  </si>
  <si>
    <t xml:space="preserve">OGDENSBURG    </t>
  </si>
  <si>
    <t>512404</t>
  </si>
  <si>
    <t xml:space="preserve">HEUVELTON     </t>
  </si>
  <si>
    <t>512501</t>
  </si>
  <si>
    <t xml:space="preserve">PARISHVILLE   </t>
  </si>
  <si>
    <t>512902</t>
  </si>
  <si>
    <t xml:space="preserve">POTSDAM       </t>
  </si>
  <si>
    <t>513102</t>
  </si>
  <si>
    <t xml:space="preserve">EDWARDS-KNOX  </t>
  </si>
  <si>
    <t>520101</t>
  </si>
  <si>
    <t xml:space="preserve">BURNT HILLS   </t>
  </si>
  <si>
    <t>520302</t>
  </si>
  <si>
    <t xml:space="preserve">SHENENDEHOWA  </t>
  </si>
  <si>
    <t>520401</t>
  </si>
  <si>
    <t xml:space="preserve">CORINTH       </t>
  </si>
  <si>
    <t>520601</t>
  </si>
  <si>
    <t xml:space="preserve">EDINBURG      </t>
  </si>
  <si>
    <t>520701</t>
  </si>
  <si>
    <t xml:space="preserve">GALWAY        </t>
  </si>
  <si>
    <t>521200</t>
  </si>
  <si>
    <t xml:space="preserve">MECHANICVILLE </t>
  </si>
  <si>
    <t>521301</t>
  </si>
  <si>
    <t xml:space="preserve">BALLSTON SPA  </t>
  </si>
  <si>
    <t>521401</t>
  </si>
  <si>
    <t>S. GLENS FALLS</t>
  </si>
  <si>
    <t>521701</t>
  </si>
  <si>
    <t xml:space="preserve">SCHUYLERVILLE </t>
  </si>
  <si>
    <t>521800</t>
  </si>
  <si>
    <t>SARATOGA SPRIN</t>
  </si>
  <si>
    <t>522001</t>
  </si>
  <si>
    <t xml:space="preserve">STILLWATER    </t>
  </si>
  <si>
    <t>522101</t>
  </si>
  <si>
    <t xml:space="preserve">WATERFORD     </t>
  </si>
  <si>
    <t>530101</t>
  </si>
  <si>
    <t xml:space="preserve">DUANESBURG    </t>
  </si>
  <si>
    <t>530202</t>
  </si>
  <si>
    <t>SCOTIA GLENVIL</t>
  </si>
  <si>
    <t>530301</t>
  </si>
  <si>
    <t xml:space="preserve">NISKAYUNA     </t>
  </si>
  <si>
    <t>530501</t>
  </si>
  <si>
    <t xml:space="preserve">SCHALMONT     </t>
  </si>
  <si>
    <t>530515</t>
  </si>
  <si>
    <t xml:space="preserve">MOHONASEN     </t>
  </si>
  <si>
    <t>530600</t>
  </si>
  <si>
    <t xml:space="preserve">SCHENECTADY   </t>
  </si>
  <si>
    <t>540801</t>
  </si>
  <si>
    <t>GILBOA CONESVI</t>
  </si>
  <si>
    <t>540901</t>
  </si>
  <si>
    <t xml:space="preserve">JEFFERSON     </t>
  </si>
  <si>
    <t>541001</t>
  </si>
  <si>
    <t xml:space="preserve">MIDDLEBURGH   </t>
  </si>
  <si>
    <t>541102</t>
  </si>
  <si>
    <t>COBLESKL-RICHM</t>
  </si>
  <si>
    <t>541201</t>
  </si>
  <si>
    <t xml:space="preserve">SCHOHARIE     </t>
  </si>
  <si>
    <t>541401</t>
  </si>
  <si>
    <t>SHARON SPRINGS</t>
  </si>
  <si>
    <t>550101</t>
  </si>
  <si>
    <t>ODESSA MONTOUR</t>
  </si>
  <si>
    <t>550301</t>
  </si>
  <si>
    <t xml:space="preserve">WATKINS GLEN  </t>
  </si>
  <si>
    <t>560501</t>
  </si>
  <si>
    <t xml:space="preserve">SOUTH SENECA  </t>
  </si>
  <si>
    <t>560603</t>
  </si>
  <si>
    <t xml:space="preserve">ROMULUS       </t>
  </si>
  <si>
    <t>560701</t>
  </si>
  <si>
    <t xml:space="preserve">SENECA FALLS  </t>
  </si>
  <si>
    <t>561006</t>
  </si>
  <si>
    <t xml:space="preserve">WATERLOO CENT </t>
  </si>
  <si>
    <t>570101</t>
  </si>
  <si>
    <t xml:space="preserve">ADDISON       </t>
  </si>
  <si>
    <t>570201</t>
  </si>
  <si>
    <t xml:space="preserve">AVOCA         </t>
  </si>
  <si>
    <t>570302</t>
  </si>
  <si>
    <t xml:space="preserve">BATH          </t>
  </si>
  <si>
    <t>570401</t>
  </si>
  <si>
    <t xml:space="preserve">BRADFORD      </t>
  </si>
  <si>
    <t>570603</t>
  </si>
  <si>
    <t>CAMPBELL-SAVON</t>
  </si>
  <si>
    <t>571000</t>
  </si>
  <si>
    <t xml:space="preserve">CORNING       </t>
  </si>
  <si>
    <t>571502</t>
  </si>
  <si>
    <t>CANISTEO-GREEN</t>
  </si>
  <si>
    <t>571800</t>
  </si>
  <si>
    <t xml:space="preserve">HORNELL       </t>
  </si>
  <si>
    <t>571901</t>
  </si>
  <si>
    <t xml:space="preserve">ARKPORT       </t>
  </si>
  <si>
    <t>572301</t>
  </si>
  <si>
    <t xml:space="preserve">PRATTSBURG    </t>
  </si>
  <si>
    <t>572702</t>
  </si>
  <si>
    <t>JASPER-TRPSBRG</t>
  </si>
  <si>
    <t>572901</t>
  </si>
  <si>
    <t xml:space="preserve">HAMMONDSPORT  </t>
  </si>
  <si>
    <t>573002</t>
  </si>
  <si>
    <t>WAYLAND-COHOCT</t>
  </si>
  <si>
    <t>580101</t>
  </si>
  <si>
    <t xml:space="preserve">BABYLON       </t>
  </si>
  <si>
    <t>580102</t>
  </si>
  <si>
    <t xml:space="preserve">WEST BABYLON  </t>
  </si>
  <si>
    <t>580103</t>
  </si>
  <si>
    <t>580104</t>
  </si>
  <si>
    <t xml:space="preserve">LINDENHURST   </t>
  </si>
  <si>
    <t>580105</t>
  </si>
  <si>
    <t xml:space="preserve">COPIAGUE      </t>
  </si>
  <si>
    <t>580106</t>
  </si>
  <si>
    <t xml:space="preserve">AMITYVILLE    </t>
  </si>
  <si>
    <t>580107</t>
  </si>
  <si>
    <t xml:space="preserve">DEER PARK     </t>
  </si>
  <si>
    <t>580109</t>
  </si>
  <si>
    <t xml:space="preserve">WYANDANCH     </t>
  </si>
  <si>
    <t>580201</t>
  </si>
  <si>
    <t xml:space="preserve">THREE VILLAGE </t>
  </si>
  <si>
    <t>580203</t>
  </si>
  <si>
    <t xml:space="preserve">COMSEWOGUE    </t>
  </si>
  <si>
    <t>580205</t>
  </si>
  <si>
    <t xml:space="preserve">SACHEM        </t>
  </si>
  <si>
    <t>580206</t>
  </si>
  <si>
    <t>PORT JEFFERSON</t>
  </si>
  <si>
    <t>580207</t>
  </si>
  <si>
    <t xml:space="preserve">MOUNT SINAI   </t>
  </si>
  <si>
    <t>580208</t>
  </si>
  <si>
    <t xml:space="preserve">MILLER PLACE  </t>
  </si>
  <si>
    <t>580209</t>
  </si>
  <si>
    <t xml:space="preserve">ROCKY POINT   </t>
  </si>
  <si>
    <t>580211</t>
  </si>
  <si>
    <t>MIDDLE COUNTRY</t>
  </si>
  <si>
    <t>580212</t>
  </si>
  <si>
    <t xml:space="preserve">LONGWOOD      </t>
  </si>
  <si>
    <t>580224</t>
  </si>
  <si>
    <t>PATCHOGUE-MEDF</t>
  </si>
  <si>
    <t>580232</t>
  </si>
  <si>
    <t xml:space="preserve">WILLIAM FLOYD </t>
  </si>
  <si>
    <t>580233</t>
  </si>
  <si>
    <t>CENTER MORICHE</t>
  </si>
  <si>
    <t>580234</t>
  </si>
  <si>
    <t xml:space="preserve">EAST MORICHES </t>
  </si>
  <si>
    <t>580235</t>
  </si>
  <si>
    <t xml:space="preserve">SOUTH COUNTRY </t>
  </si>
  <si>
    <t>580301</t>
  </si>
  <si>
    <t xml:space="preserve">EAST HAMPTON  </t>
  </si>
  <si>
    <t>580303</t>
  </si>
  <si>
    <t xml:space="preserve">AMAGANSETT    </t>
  </si>
  <si>
    <t>580304</t>
  </si>
  <si>
    <t xml:space="preserve">SPRINGS       </t>
  </si>
  <si>
    <t>580305</t>
  </si>
  <si>
    <t xml:space="preserve">SAG HARBOR    </t>
  </si>
  <si>
    <t>580306</t>
  </si>
  <si>
    <t xml:space="preserve">MONTAUK       </t>
  </si>
  <si>
    <t>580401</t>
  </si>
  <si>
    <t xml:space="preserve">ELWOOD        </t>
  </si>
  <si>
    <t>580402</t>
  </si>
  <si>
    <t>COLD SPRING HA</t>
  </si>
  <si>
    <t>580403</t>
  </si>
  <si>
    <t xml:space="preserve">HUNTINGTON    </t>
  </si>
  <si>
    <t>580404</t>
  </si>
  <si>
    <t xml:space="preserve">NORTHPORT     </t>
  </si>
  <si>
    <t>580405</t>
  </si>
  <si>
    <t>HALF HOLLOW HI</t>
  </si>
  <si>
    <t>580406</t>
  </si>
  <si>
    <t xml:space="preserve">HARBORFIELDS  </t>
  </si>
  <si>
    <t>580410</t>
  </si>
  <si>
    <t xml:space="preserve">COMMACK       </t>
  </si>
  <si>
    <t>580413</t>
  </si>
  <si>
    <t xml:space="preserve">S. HUNTINGTON </t>
  </si>
  <si>
    <t>580501</t>
  </si>
  <si>
    <t xml:space="preserve">BAY SHORE     </t>
  </si>
  <si>
    <t>580502</t>
  </si>
  <si>
    <t xml:space="preserve">ISLIP         </t>
  </si>
  <si>
    <t>580503</t>
  </si>
  <si>
    <t xml:space="preserve">EAST ISLIP    </t>
  </si>
  <si>
    <t>580504</t>
  </si>
  <si>
    <t xml:space="preserve">SAYVILLE      </t>
  </si>
  <si>
    <t>580505</t>
  </si>
  <si>
    <t>BAYPORT BLUE P</t>
  </si>
  <si>
    <t>580506</t>
  </si>
  <si>
    <t xml:space="preserve">HAUPPAUGE     </t>
  </si>
  <si>
    <t>580507</t>
  </si>
  <si>
    <t xml:space="preserve">CONNETQUOT    </t>
  </si>
  <si>
    <t>580509</t>
  </si>
  <si>
    <t xml:space="preserve">WEST ISLIP    </t>
  </si>
  <si>
    <t>580512</t>
  </si>
  <si>
    <t xml:space="preserve">BRENTWOOD     </t>
  </si>
  <si>
    <t>580513</t>
  </si>
  <si>
    <t xml:space="preserve">CENTRAL ISLIP </t>
  </si>
  <si>
    <t>580514</t>
  </si>
  <si>
    <t xml:space="preserve">FIRE ISLAND   </t>
  </si>
  <si>
    <t>580601</t>
  </si>
  <si>
    <t>SHOREHAM-WADIN</t>
  </si>
  <si>
    <t>580602</t>
  </si>
  <si>
    <t xml:space="preserve">RIVERHEAD     </t>
  </si>
  <si>
    <t>580701</t>
  </si>
  <si>
    <t>SHELTER ISLAND</t>
  </si>
  <si>
    <t>580801</t>
  </si>
  <si>
    <t xml:space="preserve">SMITHTOWN     </t>
  </si>
  <si>
    <t>580805</t>
  </si>
  <si>
    <t xml:space="preserve">KINGS PARK    </t>
  </si>
  <si>
    <t>580901</t>
  </si>
  <si>
    <t xml:space="preserve">REMSENBURG    </t>
  </si>
  <si>
    <t>580902</t>
  </si>
  <si>
    <t>WESTHAMPTON BE</t>
  </si>
  <si>
    <t>580903</t>
  </si>
  <si>
    <t xml:space="preserve">QUOGUE        </t>
  </si>
  <si>
    <t>580905</t>
  </si>
  <si>
    <t xml:space="preserve">HAMPTON BAYS  </t>
  </si>
  <si>
    <t>580906</t>
  </si>
  <si>
    <t xml:space="preserve">SOUTHAMPTON   </t>
  </si>
  <si>
    <t>580909</t>
  </si>
  <si>
    <t xml:space="preserve">BRIDGEHAMPTON </t>
  </si>
  <si>
    <t>580912</t>
  </si>
  <si>
    <t>EASTPORT-SOUTH</t>
  </si>
  <si>
    <t>580913</t>
  </si>
  <si>
    <t>TUCKAHOE COMMO</t>
  </si>
  <si>
    <t>580917</t>
  </si>
  <si>
    <t xml:space="preserve">EAST QUOGUE   </t>
  </si>
  <si>
    <t>581002</t>
  </si>
  <si>
    <t xml:space="preserve">OYSTERPONDS   </t>
  </si>
  <si>
    <t>581004</t>
  </si>
  <si>
    <t>FISHERS ISLAND</t>
  </si>
  <si>
    <t>581005</t>
  </si>
  <si>
    <t xml:space="preserve">SOUTHOLD      </t>
  </si>
  <si>
    <t>581010</t>
  </si>
  <si>
    <t xml:space="preserve">GREENPORT     </t>
  </si>
  <si>
    <t>581012</t>
  </si>
  <si>
    <t>MATTITUCK-CUTC</t>
  </si>
  <si>
    <t>590501</t>
  </si>
  <si>
    <t xml:space="preserve">FALLSBURGH    </t>
  </si>
  <si>
    <t>590801</t>
  </si>
  <si>
    <t xml:space="preserve">ELDRED        </t>
  </si>
  <si>
    <t>590901</t>
  </si>
  <si>
    <t xml:space="preserve">LIBERTY       </t>
  </si>
  <si>
    <t>591201</t>
  </si>
  <si>
    <t xml:space="preserve">TRI VALLEY    </t>
  </si>
  <si>
    <t>591301</t>
  </si>
  <si>
    <t xml:space="preserve">ROSCOE        </t>
  </si>
  <si>
    <t>591302</t>
  </si>
  <si>
    <t>LIVINGSTON MAN</t>
  </si>
  <si>
    <t>591401</t>
  </si>
  <si>
    <t xml:space="preserve">MONTICELLO    </t>
  </si>
  <si>
    <t>591502</t>
  </si>
  <si>
    <t>600101</t>
  </si>
  <si>
    <t xml:space="preserve">WAVERLY       </t>
  </si>
  <si>
    <t>600301</t>
  </si>
  <si>
    <t xml:space="preserve">CANDOR        </t>
  </si>
  <si>
    <t>600402</t>
  </si>
  <si>
    <t xml:space="preserve">NEWARK VALLEY </t>
  </si>
  <si>
    <t>600601</t>
  </si>
  <si>
    <t>OWEGO-APALACHI</t>
  </si>
  <si>
    <t>600801</t>
  </si>
  <si>
    <t>SPENCER VAN ET</t>
  </si>
  <si>
    <t>600903</t>
  </si>
  <si>
    <t xml:space="preserve">TIOGA         </t>
  </si>
  <si>
    <t>610301</t>
  </si>
  <si>
    <t xml:space="preserve">DRYDEN        </t>
  </si>
  <si>
    <t>610501</t>
  </si>
  <si>
    <t xml:space="preserve">GROTON        </t>
  </si>
  <si>
    <t>610600</t>
  </si>
  <si>
    <t xml:space="preserve">ITHACA        </t>
  </si>
  <si>
    <t>610801</t>
  </si>
  <si>
    <t xml:space="preserve">LANSING       </t>
  </si>
  <si>
    <t>610901</t>
  </si>
  <si>
    <t xml:space="preserve">NEWFIELD      </t>
  </si>
  <si>
    <t>611001</t>
  </si>
  <si>
    <t xml:space="preserve">TRUMANSBURG   </t>
  </si>
  <si>
    <t>620600</t>
  </si>
  <si>
    <t xml:space="preserve">KINGSTON      </t>
  </si>
  <si>
    <t>620803</t>
  </si>
  <si>
    <t xml:space="preserve">HIGHLAND      </t>
  </si>
  <si>
    <t>620901</t>
  </si>
  <si>
    <t>RONDOUT VALLEY</t>
  </si>
  <si>
    <t>621001</t>
  </si>
  <si>
    <t xml:space="preserve">MARLBORO      </t>
  </si>
  <si>
    <t>621101</t>
  </si>
  <si>
    <t xml:space="preserve">NEW PALTZ     </t>
  </si>
  <si>
    <t>621201</t>
  </si>
  <si>
    <t xml:space="preserve">ONTEORA       </t>
  </si>
  <si>
    <t>621601</t>
  </si>
  <si>
    <t xml:space="preserve">SAUGERTIES    </t>
  </si>
  <si>
    <t>621801</t>
  </si>
  <si>
    <t xml:space="preserve">WALLKILL      </t>
  </si>
  <si>
    <t>622002</t>
  </si>
  <si>
    <t xml:space="preserve">ELLENVILLE    </t>
  </si>
  <si>
    <t>630101</t>
  </si>
  <si>
    <t xml:space="preserve">BOLTON        </t>
  </si>
  <si>
    <t>630202</t>
  </si>
  <si>
    <t xml:space="preserve">NORTH WARREN  </t>
  </si>
  <si>
    <t>630300</t>
  </si>
  <si>
    <t xml:space="preserve">GLENS FALLS   </t>
  </si>
  <si>
    <t>630601</t>
  </si>
  <si>
    <t xml:space="preserve">JOHNSBURG     </t>
  </si>
  <si>
    <t>630701</t>
  </si>
  <si>
    <t xml:space="preserve">LAKE GEORGE   </t>
  </si>
  <si>
    <t>630801</t>
  </si>
  <si>
    <t>HADLEY LUZERNE</t>
  </si>
  <si>
    <t>630902</t>
  </si>
  <si>
    <t xml:space="preserve">QUEENSBURY    </t>
  </si>
  <si>
    <t>630918</t>
  </si>
  <si>
    <t>GLENS FALLS CO</t>
  </si>
  <si>
    <t>631201</t>
  </si>
  <si>
    <t xml:space="preserve">WARRENSBURG   </t>
  </si>
  <si>
    <t>640101</t>
  </si>
  <si>
    <t xml:space="preserve">ARGYLE        </t>
  </si>
  <si>
    <t>640502</t>
  </si>
  <si>
    <t xml:space="preserve">FORT ANN      </t>
  </si>
  <si>
    <t>640601</t>
  </si>
  <si>
    <t xml:space="preserve">FORT EDWARD   </t>
  </si>
  <si>
    <t>640701</t>
  </si>
  <si>
    <t xml:space="preserve">GRANVILLE     </t>
  </si>
  <si>
    <t>640801</t>
  </si>
  <si>
    <t xml:space="preserve">GREENWICH     </t>
  </si>
  <si>
    <t>641001</t>
  </si>
  <si>
    <t xml:space="preserve">HARTFORD      </t>
  </si>
  <si>
    <t>641301</t>
  </si>
  <si>
    <t xml:space="preserve">HUDSON FALLS  </t>
  </si>
  <si>
    <t>641401</t>
  </si>
  <si>
    <t xml:space="preserve">PUTNAM        </t>
  </si>
  <si>
    <t>641501</t>
  </si>
  <si>
    <t xml:space="preserve">SALEM         </t>
  </si>
  <si>
    <t>641610</t>
  </si>
  <si>
    <t xml:space="preserve">CAMBRIDGE     </t>
  </si>
  <si>
    <t>641701</t>
  </si>
  <si>
    <t xml:space="preserve">WHITEHALL     </t>
  </si>
  <si>
    <t>650101</t>
  </si>
  <si>
    <t xml:space="preserve">NEWARK        </t>
  </si>
  <si>
    <t>650301</t>
  </si>
  <si>
    <t>CLYDE-SAVANNAH</t>
  </si>
  <si>
    <t>650501</t>
  </si>
  <si>
    <t xml:space="preserve">LYONS         </t>
  </si>
  <si>
    <t>650701</t>
  </si>
  <si>
    <t xml:space="preserve">MARION        </t>
  </si>
  <si>
    <t>650801</t>
  </si>
  <si>
    <t xml:space="preserve">WAYNE         </t>
  </si>
  <si>
    <t>650901</t>
  </si>
  <si>
    <t>PALMYRA-MACEDO</t>
  </si>
  <si>
    <t>650902</t>
  </si>
  <si>
    <t xml:space="preserve">GANANDA       </t>
  </si>
  <si>
    <t>651201</t>
  </si>
  <si>
    <t xml:space="preserve">SODUS         </t>
  </si>
  <si>
    <t>651402</t>
  </si>
  <si>
    <t xml:space="preserve">WILLIAMSON    </t>
  </si>
  <si>
    <t>651501</t>
  </si>
  <si>
    <t>N. ROSE-WOLCOT</t>
  </si>
  <si>
    <t>651503</t>
  </si>
  <si>
    <t xml:space="preserve">RED CREEK     </t>
  </si>
  <si>
    <t>660101</t>
  </si>
  <si>
    <t>KATONAH LEWISB</t>
  </si>
  <si>
    <t>660102</t>
  </si>
  <si>
    <t xml:space="preserve">BEDFORD       </t>
  </si>
  <si>
    <t>660202</t>
  </si>
  <si>
    <t xml:space="preserve">CROTON HARMON </t>
  </si>
  <si>
    <t>660203</t>
  </si>
  <si>
    <t>HENDRICK HUDSO</t>
  </si>
  <si>
    <t>660301</t>
  </si>
  <si>
    <t xml:space="preserve">EASTCHESTER   </t>
  </si>
  <si>
    <t>660302</t>
  </si>
  <si>
    <t xml:space="preserve">TUCKAHOE      </t>
  </si>
  <si>
    <t>660303</t>
  </si>
  <si>
    <t xml:space="preserve">BRONXVILLE    </t>
  </si>
  <si>
    <t>660401</t>
  </si>
  <si>
    <t xml:space="preserve">TARRYTOWN     </t>
  </si>
  <si>
    <t>660402</t>
  </si>
  <si>
    <t xml:space="preserve">IRVINGTON     </t>
  </si>
  <si>
    <t>660403</t>
  </si>
  <si>
    <t xml:space="preserve">DOBBS FERRY   </t>
  </si>
  <si>
    <t>660404</t>
  </si>
  <si>
    <t>HASTINGS ON HU</t>
  </si>
  <si>
    <t>660405</t>
  </si>
  <si>
    <t xml:space="preserve">ARDSLEY       </t>
  </si>
  <si>
    <t>660406</t>
  </si>
  <si>
    <t xml:space="preserve">EDGEMONT      </t>
  </si>
  <si>
    <t>660407</t>
  </si>
  <si>
    <t xml:space="preserve">GREENBURGH    </t>
  </si>
  <si>
    <t>660409</t>
  </si>
  <si>
    <t xml:space="preserve">ELMSFORD      </t>
  </si>
  <si>
    <t>660501</t>
  </si>
  <si>
    <t xml:space="preserve">HARRISON      </t>
  </si>
  <si>
    <t>660701</t>
  </si>
  <si>
    <t xml:space="preserve">MAMARONECK    </t>
  </si>
  <si>
    <t>660801</t>
  </si>
  <si>
    <t xml:space="preserve">MT PLEAS CENT </t>
  </si>
  <si>
    <t>660802</t>
  </si>
  <si>
    <t>POCANTICO HILL</t>
  </si>
  <si>
    <t>660805</t>
  </si>
  <si>
    <t xml:space="preserve">VALHALLA      </t>
  </si>
  <si>
    <t>660809</t>
  </si>
  <si>
    <t xml:space="preserve">PLEASANTVILLE </t>
  </si>
  <si>
    <t>660900</t>
  </si>
  <si>
    <t xml:space="preserve">MOUNT VERNON  </t>
  </si>
  <si>
    <t>661004</t>
  </si>
  <si>
    <t xml:space="preserve">CHAPPAQUA     </t>
  </si>
  <si>
    <t>661100</t>
  </si>
  <si>
    <t xml:space="preserve">NEW ROCHELLE  </t>
  </si>
  <si>
    <t>661201</t>
  </si>
  <si>
    <t xml:space="preserve">BYRAM HILLS   </t>
  </si>
  <si>
    <t>661301</t>
  </si>
  <si>
    <t xml:space="preserve">NORTH SALEM   </t>
  </si>
  <si>
    <t>661401</t>
  </si>
  <si>
    <t xml:space="preserve">OSSINING      </t>
  </si>
  <si>
    <t>661402</t>
  </si>
  <si>
    <t>BRIARCLIFF MAN</t>
  </si>
  <si>
    <t>661500</t>
  </si>
  <si>
    <t xml:space="preserve">PEEKSKILL     </t>
  </si>
  <si>
    <t>661601</t>
  </si>
  <si>
    <t xml:space="preserve">PELHAM        </t>
  </si>
  <si>
    <t>661800</t>
  </si>
  <si>
    <t xml:space="preserve">RYE           </t>
  </si>
  <si>
    <t>661901</t>
  </si>
  <si>
    <t xml:space="preserve">RYE NECK      </t>
  </si>
  <si>
    <t>661904</t>
  </si>
  <si>
    <t xml:space="preserve">PORT CHESTER  </t>
  </si>
  <si>
    <t>661905</t>
  </si>
  <si>
    <t>BLIND BROOK-RY</t>
  </si>
  <si>
    <t>662001</t>
  </si>
  <si>
    <t xml:space="preserve">SCARSDALE     </t>
  </si>
  <si>
    <t>662101</t>
  </si>
  <si>
    <t xml:space="preserve">SOMERS        </t>
  </si>
  <si>
    <t>662200</t>
  </si>
  <si>
    <t xml:space="preserve">WHITE PLAINS  </t>
  </si>
  <si>
    <t>662300</t>
  </si>
  <si>
    <t xml:space="preserve">YONKERS       </t>
  </si>
  <si>
    <t>662401</t>
  </si>
  <si>
    <t xml:space="preserve">LAKELAND      </t>
  </si>
  <si>
    <t>662402</t>
  </si>
  <si>
    <t xml:space="preserve">YORKTOWN      </t>
  </si>
  <si>
    <t>670201</t>
  </si>
  <si>
    <t xml:space="preserve">ATTICA        </t>
  </si>
  <si>
    <t>670401</t>
  </si>
  <si>
    <t xml:space="preserve">LETCHWORTH    </t>
  </si>
  <si>
    <t>671002</t>
  </si>
  <si>
    <t xml:space="preserve">WYOMING       </t>
  </si>
  <si>
    <t>671201</t>
  </si>
  <si>
    <t xml:space="preserve">PERRY         </t>
  </si>
  <si>
    <t>671501</t>
  </si>
  <si>
    <t xml:space="preserve">WARSAW        </t>
  </si>
  <si>
    <t>680601</t>
  </si>
  <si>
    <t xml:space="preserve">PENN  YAN     </t>
  </si>
  <si>
    <t>680801</t>
  </si>
  <si>
    <t xml:space="preserve">DUNDEE        </t>
  </si>
  <si>
    <t>Statewide</t>
  </si>
  <si>
    <t>NYS Prekindergarten Four-Year Old Children Served</t>
  </si>
  <si>
    <t>Total 3&amp;4s                 Half-Day</t>
  </si>
  <si>
    <t>Total 3&amp;4s Full-Day</t>
  </si>
  <si>
    <t>Total 3&amp;4s Served</t>
  </si>
  <si>
    <t>Total 4s Full-Day</t>
  </si>
  <si>
    <t>Total 4s Served</t>
  </si>
  <si>
    <t>Percentage of 4s Served</t>
  </si>
  <si>
    <t>STATEWIDE</t>
  </si>
  <si>
    <t>400400</t>
  </si>
  <si>
    <t>ALBANY</t>
  </si>
  <si>
    <t>CHAUTAUQUA</t>
  </si>
  <si>
    <t>GREENE</t>
  </si>
  <si>
    <t>CORTLAND</t>
  </si>
  <si>
    <t>FRANKLIN</t>
  </si>
  <si>
    <t>HERKIMER</t>
  </si>
  <si>
    <t>MOUNT MORRIS</t>
  </si>
  <si>
    <t>HAMILTON</t>
  </si>
  <si>
    <t>MADISON</t>
  </si>
  <si>
    <t>CLINTON</t>
  </si>
  <si>
    <t>ONONDAGA</t>
  </si>
  <si>
    <t>FULTON</t>
  </si>
  <si>
    <t>OSWEGO</t>
  </si>
  <si>
    <t>RENSSELAER</t>
  </si>
  <si>
    <t>SCHENECTADY</t>
  </si>
  <si>
    <t>JEFFERSON</t>
  </si>
  <si>
    <t>SCHOHARIE</t>
  </si>
  <si>
    <t>TIOGA</t>
  </si>
  <si>
    <t>PUTNAM</t>
  </si>
  <si>
    <t>WAYNE</t>
  </si>
  <si>
    <t>WYOMING</t>
  </si>
  <si>
    <t>Total 4s  Half-Day</t>
  </si>
  <si>
    <t xml:space="preserve">BERLIN        </t>
  </si>
  <si>
    <t xml:space="preserve">KINDERHOOK    </t>
  </si>
  <si>
    <t xml:space="preserve">HUDSON        </t>
  </si>
  <si>
    <t xml:space="preserve">ONEIDA CITY   </t>
  </si>
  <si>
    <t xml:space="preserve">CANASTOTA     </t>
  </si>
  <si>
    <t xml:space="preserve">DOLGEVILLE    </t>
  </si>
  <si>
    <t xml:space="preserve">HERKIMER      </t>
  </si>
  <si>
    <t>RAMAPO (Suffern)</t>
  </si>
  <si>
    <t>LOCKPORT (N. Babylon)</t>
  </si>
  <si>
    <t>SULLIVAN WEST (Jeff Youngsville)</t>
  </si>
  <si>
    <t>151801</t>
  </si>
  <si>
    <t>BOQUET VALLEY CSD</t>
  </si>
  <si>
    <t>Total TPK              (Half and Full Day)</t>
  </si>
  <si>
    <t>Total Half-Day TPK</t>
  </si>
  <si>
    <t>Total Full-Day TPK</t>
  </si>
  <si>
    <t>Full-Day TPK 4-Yr.-Olds</t>
  </si>
  <si>
    <t>Half-Day TPK 3-Yr.-Olds</t>
  </si>
  <si>
    <t>Half-Day TPK 4-Yr.-Olds</t>
  </si>
  <si>
    <t>Full-Day TPK 3-Yr.-Olds</t>
  </si>
  <si>
    <t>Half-Day UPK 3-Yr.-Olds</t>
  </si>
  <si>
    <t>Half-Day UPK 4-Yr.-Olds</t>
  </si>
  <si>
    <t>Full-Day UPK 3-Yr.-Olds</t>
  </si>
  <si>
    <t>Full-Day UPK 4-Yr.-Olds</t>
  </si>
  <si>
    <t>Total Seats Served by Federal SUFDPK</t>
  </si>
  <si>
    <t>County</t>
  </si>
  <si>
    <t>ERIE</t>
  </si>
  <si>
    <t>SUFFOLK</t>
  </si>
  <si>
    <t>NASSAU</t>
  </si>
  <si>
    <t>MONROE</t>
  </si>
  <si>
    <t>WESTCHESTER</t>
  </si>
  <si>
    <t>LIVINGSTON</t>
  </si>
  <si>
    <t>ONTARIO</t>
  </si>
  <si>
    <t>OTSEGO</t>
  </si>
  <si>
    <t>ORANGE</t>
  </si>
  <si>
    <t>GENESEE</t>
  </si>
  <si>
    <t>WASHINGTON</t>
  </si>
  <si>
    <t>WARREN</t>
  </si>
  <si>
    <t>ULSTER</t>
  </si>
  <si>
    <t>TOMPKINS</t>
  </si>
  <si>
    <t>SULLIVAN</t>
  </si>
  <si>
    <t>KINGS PARK CSD</t>
  </si>
  <si>
    <t>HAUPPAUGE UFSD</t>
  </si>
  <si>
    <t>STEUBEN</t>
  </si>
  <si>
    <t>SENECA</t>
  </si>
  <si>
    <t>SARATOGA</t>
  </si>
  <si>
    <t>SAINT LAWRENCE</t>
  </si>
  <si>
    <t>ROCKLAND</t>
  </si>
  <si>
    <t>CLARKSTOWN CSD</t>
  </si>
  <si>
    <t>WHITESBORO CSD</t>
  </si>
  <si>
    <t>ONEIDA</t>
  </si>
  <si>
    <t>NIAGARA</t>
  </si>
  <si>
    <t>OCEANSIDE UFSD</t>
  </si>
  <si>
    <t>BROOME</t>
  </si>
  <si>
    <t>COLUMBIA</t>
  </si>
  <si>
    <t>GREENVILLE CSD</t>
  </si>
  <si>
    <t>HUDSON CITY SD</t>
  </si>
  <si>
    <t>ROOSEVELT UFSD</t>
  </si>
  <si>
    <t>CAYUGA</t>
  </si>
  <si>
    <t>CATTARAUGUS</t>
  </si>
  <si>
    <t>ALLEGANY</t>
  </si>
  <si>
    <t>MONTGOMERY</t>
  </si>
  <si>
    <t>NEW YORK</t>
  </si>
  <si>
    <t>YATES</t>
  </si>
  <si>
    <t>ORLEANS</t>
  </si>
  <si>
    <t>LEWIS</t>
  </si>
  <si>
    <t>ESSEX</t>
  </si>
  <si>
    <t>DUTCHESS</t>
  </si>
  <si>
    <t>WAPPINGERS CSD</t>
  </si>
  <si>
    <t>DELAWARE</t>
  </si>
  <si>
    <t>KINDERHOOK CSD</t>
  </si>
  <si>
    <t>CHENANGO</t>
  </si>
  <si>
    <t>SCHUYLER</t>
  </si>
  <si>
    <t>STILLWATER CSD</t>
  </si>
  <si>
    <t>LEVITTOWN UFSD</t>
  </si>
  <si>
    <t>DOLGEVILLE CSD</t>
  </si>
  <si>
    <t>HEMPSTEAD UFSD</t>
  </si>
  <si>
    <t>NORTHVILLE CSD</t>
  </si>
  <si>
    <t>CHEMUNG</t>
  </si>
  <si>
    <t>CONNETQUOT CSD</t>
  </si>
  <si>
    <t>OSWEGO CITY SD</t>
  </si>
  <si>
    <t>PLAINEDGE UFSD</t>
  </si>
  <si>
    <t>Half Day 3s</t>
  </si>
  <si>
    <t>Full Day 3s</t>
  </si>
  <si>
    <t>Full Day 4s</t>
  </si>
  <si>
    <t>Head Start</t>
  </si>
  <si>
    <t>Charter School</t>
  </si>
  <si>
    <t>BOCES</t>
  </si>
  <si>
    <t>District Operated</t>
  </si>
  <si>
    <t>Library</t>
  </si>
  <si>
    <t>Day Care Center</t>
  </si>
  <si>
    <t>Museum</t>
  </si>
  <si>
    <t>Family or Group Day Care</t>
  </si>
  <si>
    <t>Special Ed 4410 Preschool</t>
  </si>
  <si>
    <t>Nonpublic School</t>
  </si>
  <si>
    <t>Nursery School</t>
  </si>
  <si>
    <t>Type of Provider
SUFDPK</t>
  </si>
  <si>
    <t>Public School</t>
  </si>
  <si>
    <t>Daycare Center</t>
  </si>
  <si>
    <t>Family or Group Daycare</t>
  </si>
  <si>
    <t>Other CBO</t>
  </si>
  <si>
    <t>NIEER Report</t>
  </si>
  <si>
    <t>Private Agencies</t>
  </si>
  <si>
    <t>Public Schools</t>
  </si>
  <si>
    <t>Family Child Care Homes</t>
  </si>
  <si>
    <t>Other Agency</t>
  </si>
  <si>
    <t># of PreK Children Enrolled</t>
  </si>
  <si>
    <t>TOTAL</t>
  </si>
  <si>
    <t>NYS Prekindergarten All Children Served</t>
  </si>
  <si>
    <t>2023-24 PROXY FOR UNSERVED FOUR-YEAR-OLDS</t>
  </si>
  <si>
    <t>Statewide Universal Full-Day PreK
Project # 0545-##
(2023-24)</t>
  </si>
  <si>
    <t>Federally Funded Universal PreK Expansion Grant for New Full-Day  4-Yr.-Olds (2023-24)</t>
  </si>
  <si>
    <t>Statewide Universal Full-Day PreK
Project # 0546-##
(2023-24)</t>
  </si>
  <si>
    <t>Targeted Prekindergarten (2023-24)</t>
  </si>
  <si>
    <t>2023-24 Proxy of 4s</t>
  </si>
  <si>
    <t>ADIRONDACK CSD</t>
  </si>
  <si>
    <t>ALBANY CITY SD</t>
  </si>
  <si>
    <t>ALEXANDRIA CSD</t>
  </si>
  <si>
    <t>BAY SHORE UFSD</t>
  </si>
  <si>
    <t>COHOES CITY SD</t>
  </si>
  <si>
    <t>DUANESBURG CSD</t>
  </si>
  <si>
    <t>SWEET HOME CSD</t>
  </si>
  <si>
    <t>COPENHAGEN CSD</t>
  </si>
  <si>
    <t>GREENBURGH CSD</t>
  </si>
  <si>
    <t>WILLIAMSON CSD</t>
  </si>
  <si>
    <t>AUBURN CITY SD</t>
  </si>
  <si>
    <t>BEACON CITY SD</t>
  </si>
  <si>
    <t>BRENTWOOD UFSD</t>
  </si>
  <si>
    <t>BROOKFIELD CSD</t>
  </si>
  <si>
    <t>CANASERAGA CSD</t>
  </si>
  <si>
    <t>CHATEAUGAY CSD</t>
  </si>
  <si>
    <t>DEER PARK UFSD</t>
  </si>
  <si>
    <t>ELLENVILLE CSD</t>
  </si>
  <si>
    <t>ELMIRA CITY SD</t>
  </si>
  <si>
    <t>FORT PLAIN CSD</t>
  </si>
  <si>
    <t>FRIENDSHIP CSD</t>
  </si>
  <si>
    <t>FULTON CITY SD</t>
  </si>
  <si>
    <t>GENEVA CITY SD</t>
  </si>
  <si>
    <t>GOUVERNEUR CSD</t>
  </si>
  <si>
    <t>GREENPORT UFSD</t>
  </si>
  <si>
    <t>HORSEHEADS CSD</t>
  </si>
  <si>
    <t>IRVINGTON UFSD</t>
  </si>
  <si>
    <t>ITHACA CITY SD</t>
  </si>
  <si>
    <t>LETCHWORTH CSD</t>
  </si>
  <si>
    <t>MANHASSET UFSD</t>
  </si>
  <si>
    <t>MONTICELLO CSD</t>
  </si>
  <si>
    <t>MORRISTOWN CSD</t>
  </si>
  <si>
    <t>ONEIDA CITY SD</t>
  </si>
  <si>
    <t>PORT BYRON CSD</t>
  </si>
  <si>
    <t>SAUGERTIES CSD</t>
  </si>
  <si>
    <t>SCARSDALE UFSD</t>
  </si>
  <si>
    <t>TRI-VALLEY CSD</t>
  </si>
  <si>
    <t>UNIONDALE UFSD</t>
  </si>
  <si>
    <t>WATERVILLE CSD</t>
  </si>
  <si>
    <t>WELLSVILLE CSD</t>
  </si>
  <si>
    <t>WYANDANCH UFSD</t>
  </si>
  <si>
    <t>State Funded Universal Prekindergarten (2023-24)</t>
  </si>
  <si>
    <t>Federally Funded Universal PreK
(2023-24)</t>
  </si>
  <si>
    <t>Percentage Served
2023-24</t>
  </si>
  <si>
    <t>Beds Code</t>
  </si>
  <si>
    <t>Institution Name</t>
  </si>
  <si>
    <t>2023-24 Statutory Pre-K Proxy</t>
  </si>
  <si>
    <t>BERNE-KNOX-WES</t>
  </si>
  <si>
    <t xml:space="preserve">BETHLEHEM CSD </t>
  </si>
  <si>
    <t>RAVENA-COEYMAN</t>
  </si>
  <si>
    <t xml:space="preserve">MENANDS UFSD  </t>
  </si>
  <si>
    <t>GREEN ISLAND U</t>
  </si>
  <si>
    <t>GUILDERLAND CS</t>
  </si>
  <si>
    <t>WATERVLIET CIT</t>
  </si>
  <si>
    <t xml:space="preserve">ALFRED-ALMOND </t>
  </si>
  <si>
    <t xml:space="preserve">ANDOVER CSD   </t>
  </si>
  <si>
    <t xml:space="preserve">BELFAST CSD   </t>
  </si>
  <si>
    <t xml:space="preserve">FILLMORE CSD  </t>
  </si>
  <si>
    <t>WHITESVILLE CS</t>
  </si>
  <si>
    <t xml:space="preserve">SCIO CSD      </t>
  </si>
  <si>
    <t>BOLIVAR-RICHBU</t>
  </si>
  <si>
    <t>BINGHAMTON CIT</t>
  </si>
  <si>
    <t>HARPURSVILLE C</t>
  </si>
  <si>
    <t xml:space="preserve">MAINE-ENDWELL </t>
  </si>
  <si>
    <t xml:space="preserve">DEPOSIT CSD   </t>
  </si>
  <si>
    <t>JOHNSON CITY C</t>
  </si>
  <si>
    <t xml:space="preserve">VESTAL CSD    </t>
  </si>
  <si>
    <t xml:space="preserve">WINDSOR CSD   </t>
  </si>
  <si>
    <t>WEST VALLEY CS</t>
  </si>
  <si>
    <t xml:space="preserve">HINSDALE CSD  </t>
  </si>
  <si>
    <t xml:space="preserve">OLEAN CITY SD </t>
  </si>
  <si>
    <t xml:space="preserve">GOWANDA CSD   </t>
  </si>
  <si>
    <t xml:space="preserve">PORTVILLE CSD </t>
  </si>
  <si>
    <t xml:space="preserve">RANDOLPH CSD  </t>
  </si>
  <si>
    <t>SALAMANCA CITY</t>
  </si>
  <si>
    <t>YORKSHIRE-PION</t>
  </si>
  <si>
    <t xml:space="preserve">WEEDSPORT CSD </t>
  </si>
  <si>
    <t xml:space="preserve">CATO-MERIDIAN </t>
  </si>
  <si>
    <t xml:space="preserve">MORAVIA CSD   </t>
  </si>
  <si>
    <t>SOUTHWESTERN C</t>
  </si>
  <si>
    <t xml:space="preserve">FREWSBURG CSD </t>
  </si>
  <si>
    <t>CHAUTAUQUA LAK</t>
  </si>
  <si>
    <t>PINE VALLEY CS</t>
  </si>
  <si>
    <t xml:space="preserve">CLYMER CSD    </t>
  </si>
  <si>
    <t>DUNKIRK CITY S</t>
  </si>
  <si>
    <t>BEMUS POINT CS</t>
  </si>
  <si>
    <t xml:space="preserve">FALCONER CSD  </t>
  </si>
  <si>
    <t>SILVER CREEK C</t>
  </si>
  <si>
    <t>FORESTVILLE CS</t>
  </si>
  <si>
    <t xml:space="preserve">PANAMA CSD    </t>
  </si>
  <si>
    <t>JAMESTOWN CITY</t>
  </si>
  <si>
    <t xml:space="preserve">FREDONIA CSD  </t>
  </si>
  <si>
    <t xml:space="preserve">BROCTON CSD   </t>
  </si>
  <si>
    <t xml:space="preserve">RIPLEY CSD    </t>
  </si>
  <si>
    <t xml:space="preserve">SHERMAN CSD   </t>
  </si>
  <si>
    <t xml:space="preserve">WESTFIELD CSD </t>
  </si>
  <si>
    <t xml:space="preserve">AFTON CSD     </t>
  </si>
  <si>
    <t>BAINBRIDGE-GUI</t>
  </si>
  <si>
    <t xml:space="preserve">GREENE CSD    </t>
  </si>
  <si>
    <t>UNADILLA VALLE</t>
  </si>
  <si>
    <t>NORWICH CITY S</t>
  </si>
  <si>
    <t>OTSELIC VALLEY</t>
  </si>
  <si>
    <t>OXFORD ACADEMY</t>
  </si>
  <si>
    <t>SHERBURNE-EARL</t>
  </si>
  <si>
    <t>BEEKMANTOWN CS</t>
  </si>
  <si>
    <t>NORTHEASTERN C</t>
  </si>
  <si>
    <t xml:space="preserve">CHAZY UFSD    </t>
  </si>
  <si>
    <t>NORTHERN ADIRO</t>
  </si>
  <si>
    <t xml:space="preserve">PERU CSD      </t>
  </si>
  <si>
    <t>PLATTSBURGH CI</t>
  </si>
  <si>
    <t xml:space="preserve">SARANAC CSD   </t>
  </si>
  <si>
    <t xml:space="preserve">TACONIC HILLS </t>
  </si>
  <si>
    <t>GERMANTOWN CSD</t>
  </si>
  <si>
    <t xml:space="preserve">CHATHAM CSD   </t>
  </si>
  <si>
    <t>NEW LEBANON CS</t>
  </si>
  <si>
    <t>CINCINNATUS CS</t>
  </si>
  <si>
    <t xml:space="preserve">CORTLAND CITY </t>
  </si>
  <si>
    <t xml:space="preserve">MCGRAW CSD    </t>
  </si>
  <si>
    <t xml:space="preserve">HOMER CSD     </t>
  </si>
  <si>
    <t xml:space="preserve">MARATHON CSD  </t>
  </si>
  <si>
    <t xml:space="preserve">ANDES CSD     </t>
  </si>
  <si>
    <t>DOWNSVILLE CSD</t>
  </si>
  <si>
    <t>DELAWARE ACADE</t>
  </si>
  <si>
    <t xml:space="preserve">FRANKLIN CSD  </t>
  </si>
  <si>
    <t xml:space="preserve">HANCOCK CSD   </t>
  </si>
  <si>
    <t xml:space="preserve">ROXBURY CSD   </t>
  </si>
  <si>
    <t xml:space="preserve">SIDNEY CSD    </t>
  </si>
  <si>
    <t xml:space="preserve">STAMFORD CSD  </t>
  </si>
  <si>
    <t>SOUTH KORTRIGH</t>
  </si>
  <si>
    <t xml:space="preserve">WALTON CSD    </t>
  </si>
  <si>
    <t xml:space="preserve">DOVER UFSD    </t>
  </si>
  <si>
    <t xml:space="preserve">HYDE PARK CSD </t>
  </si>
  <si>
    <t xml:space="preserve">NORTHEAST CSD </t>
  </si>
  <si>
    <t xml:space="preserve">PAWLING CSD   </t>
  </si>
  <si>
    <t>PINE PLAINS CS</t>
  </si>
  <si>
    <t>POUGHKEEPSIE C</t>
  </si>
  <si>
    <t xml:space="preserve">ARLINGTON CSD </t>
  </si>
  <si>
    <t>SPACKENKILL UF</t>
  </si>
  <si>
    <t xml:space="preserve">RED HOOK CSD  </t>
  </si>
  <si>
    <t xml:space="preserve">RHINEBECK CSD </t>
  </si>
  <si>
    <t xml:space="preserve">MILLBROOK CSD </t>
  </si>
  <si>
    <t xml:space="preserve">ALDEN CSD     </t>
  </si>
  <si>
    <t xml:space="preserve">AMHERST CSD   </t>
  </si>
  <si>
    <t>EAST AURORA UF</t>
  </si>
  <si>
    <t>BUFFALO CITY S</t>
  </si>
  <si>
    <t>CHEEKTOWAGA CS</t>
  </si>
  <si>
    <t>CHEEKTOWAGA-MA</t>
  </si>
  <si>
    <t xml:space="preserve">DEPEW UFSD    </t>
  </si>
  <si>
    <t>CHEEKTOWAGA-SL</t>
  </si>
  <si>
    <t xml:space="preserve">CLARENCE CSD  </t>
  </si>
  <si>
    <t xml:space="preserve">EDEN CSD      </t>
  </si>
  <si>
    <t xml:space="preserve">IROQUOIS CSD  </t>
  </si>
  <si>
    <t>EVANS-BRANT CS</t>
  </si>
  <si>
    <t>GRAND ISLAND C</t>
  </si>
  <si>
    <t xml:space="preserve">HAMBURG CSD   </t>
  </si>
  <si>
    <t xml:space="preserve">FRONTIER CSD  </t>
  </si>
  <si>
    <t xml:space="preserve">HOLLAND CSD   </t>
  </si>
  <si>
    <t>LACKAWANNA CIT</t>
  </si>
  <si>
    <t xml:space="preserve">LANCASTER CSD </t>
  </si>
  <si>
    <t xml:space="preserve">AKRON CSD     </t>
  </si>
  <si>
    <t>ORCHARD PARK C</t>
  </si>
  <si>
    <t>TONAWANDA CITY</t>
  </si>
  <si>
    <t>KENMORE-TONAWA</t>
  </si>
  <si>
    <t>WEST SENECA CS</t>
  </si>
  <si>
    <t>CROWN POINT CS</t>
  </si>
  <si>
    <t xml:space="preserve">KEENE CSD     </t>
  </si>
  <si>
    <t xml:space="preserve">MINERVA CSD   </t>
  </si>
  <si>
    <t xml:space="preserve">MORIAH CSD    </t>
  </si>
  <si>
    <t xml:space="preserve">NEWCOMB CSD   </t>
  </si>
  <si>
    <t>LAKE PLACID CS</t>
  </si>
  <si>
    <t>SCHROON LAKE C</t>
  </si>
  <si>
    <t>TICONDEROGA CS</t>
  </si>
  <si>
    <t xml:space="preserve">WILLSBORO CSD </t>
  </si>
  <si>
    <t xml:space="preserve">BOQUET VALLEY </t>
  </si>
  <si>
    <t>TUPPER LAKE CS</t>
  </si>
  <si>
    <t>SALMON RIVER C</t>
  </si>
  <si>
    <t>SARANAC LAKE C</t>
  </si>
  <si>
    <t xml:space="preserve">MALONE CSD    </t>
  </si>
  <si>
    <t>BRUSHTON-MOIRA</t>
  </si>
  <si>
    <t>WHEELERVILLE U</t>
  </si>
  <si>
    <t>GLOVERSVILLE C</t>
  </si>
  <si>
    <t>JOHNSTOWN CITY</t>
  </si>
  <si>
    <t xml:space="preserve">MAYFIELD CSD  </t>
  </si>
  <si>
    <t xml:space="preserve">ALEXANDER CSD </t>
  </si>
  <si>
    <t>BATAVIA CITY S</t>
  </si>
  <si>
    <t>BYRON-BERGEN C</t>
  </si>
  <si>
    <t xml:space="preserve">ELBA CSD      </t>
  </si>
  <si>
    <t xml:space="preserve">LE ROY CSD    </t>
  </si>
  <si>
    <t>OAKFIELD-ALABA</t>
  </si>
  <si>
    <t xml:space="preserve">PAVILION CSD  </t>
  </si>
  <si>
    <t xml:space="preserve">PEMBROKE CSD  </t>
  </si>
  <si>
    <t>CAIRO-DURHAM C</t>
  </si>
  <si>
    <t xml:space="preserve">CATSKILL CSD  </t>
  </si>
  <si>
    <t>COXSACKIE-ATHE</t>
  </si>
  <si>
    <t>HUNTER-TANNERS</t>
  </si>
  <si>
    <t>WINDHAM-ASHLAN</t>
  </si>
  <si>
    <t>INDIAN LAKE CS</t>
  </si>
  <si>
    <t xml:space="preserve">LONG LAKE CSD </t>
  </si>
  <si>
    <t xml:space="preserve">WELLS CSD     </t>
  </si>
  <si>
    <t xml:space="preserve">HERKIMER CSD  </t>
  </si>
  <si>
    <t>LITTLE FALLS C</t>
  </si>
  <si>
    <t xml:space="preserve">POLAND CSD    </t>
  </si>
  <si>
    <t>VAN HORNESVILL</t>
  </si>
  <si>
    <t>TOWN OF WEBB U</t>
  </si>
  <si>
    <t xml:space="preserve">MOUNT MARKHAM </t>
  </si>
  <si>
    <t>SOUTH JEFFERSO</t>
  </si>
  <si>
    <t>INDIAN RIVER C</t>
  </si>
  <si>
    <t xml:space="preserve">LYME CSD      </t>
  </si>
  <si>
    <t>WATERTOWN CITY</t>
  </si>
  <si>
    <t xml:space="preserve">CARTHAGE CSD  </t>
  </si>
  <si>
    <t>HARRISVILLE CS</t>
  </si>
  <si>
    <t>LOWVILLE ACADE</t>
  </si>
  <si>
    <t>SOUTH LEWIS CS</t>
  </si>
  <si>
    <t>BEAVER RIVER C</t>
  </si>
  <si>
    <t xml:space="preserve">AVON CSD      </t>
  </si>
  <si>
    <t>CALEDONIA-MUMF</t>
  </si>
  <si>
    <t xml:space="preserve">GENESEO CSD   </t>
  </si>
  <si>
    <t xml:space="preserve">LIVONIA CSD   </t>
  </si>
  <si>
    <t xml:space="preserve">MT MORRIS CSD </t>
  </si>
  <si>
    <t xml:space="preserve">DANSVILLE CSD </t>
  </si>
  <si>
    <t>DALTON-NUNDA C</t>
  </si>
  <si>
    <t xml:space="preserve">YORK CSD      </t>
  </si>
  <si>
    <t xml:space="preserve">CAZENOVIA CSD </t>
  </si>
  <si>
    <t xml:space="preserve">DERUYTER CSD  </t>
  </si>
  <si>
    <t>MORRISVILLE-EA</t>
  </si>
  <si>
    <t xml:space="preserve">HAMILTON CSD  </t>
  </si>
  <si>
    <t xml:space="preserve">CANASTOTA CSD </t>
  </si>
  <si>
    <t xml:space="preserve">MADISON CSD   </t>
  </si>
  <si>
    <t>CHITTENANGO CS</t>
  </si>
  <si>
    <t xml:space="preserve">BRIGHTON CSD  </t>
  </si>
  <si>
    <t>GATES CHILI CS</t>
  </si>
  <si>
    <t xml:space="preserve">GREECE CSD    </t>
  </si>
  <si>
    <t>EAST IRONDEQUO</t>
  </si>
  <si>
    <t>WEST IRONDEQUO</t>
  </si>
  <si>
    <t>HONEOYE FALLS-</t>
  </si>
  <si>
    <t>SPENCERPORT CS</t>
  </si>
  <si>
    <t xml:space="preserve">HILTON CSD    </t>
  </si>
  <si>
    <t xml:space="preserve">PENFIELD CSD  </t>
  </si>
  <si>
    <t xml:space="preserve">FAIRPORT CSD  </t>
  </si>
  <si>
    <t xml:space="preserve">PITTSFORD CSD </t>
  </si>
  <si>
    <t>CHURCHVILLE-CH</t>
  </si>
  <si>
    <t>ROCHESTER CITY</t>
  </si>
  <si>
    <t>RUSH-HENRIETTA</t>
  </si>
  <si>
    <t xml:space="preserve">BROCKPORT CSD </t>
  </si>
  <si>
    <t xml:space="preserve">WEBSTER CSD   </t>
  </si>
  <si>
    <t>WHEATLAND-CHIL</t>
  </si>
  <si>
    <t>AMSTERDAM CITY</t>
  </si>
  <si>
    <t>CANAJOHARIE CS</t>
  </si>
  <si>
    <t>FONDA-FULTONVI</t>
  </si>
  <si>
    <t>OPPENHEIM-EPHR</t>
  </si>
  <si>
    <t>GLEN COVE CITY</t>
  </si>
  <si>
    <t>EAST MEADOW UF</t>
  </si>
  <si>
    <t xml:space="preserve">SEAFORD UFSD  </t>
  </si>
  <si>
    <t xml:space="preserve">BELLMORE UFSD </t>
  </si>
  <si>
    <t xml:space="preserve">FREEPORT UFSD </t>
  </si>
  <si>
    <t xml:space="preserve">BALDWIN UFSD  </t>
  </si>
  <si>
    <t xml:space="preserve">MALVERNE UFSD </t>
  </si>
  <si>
    <t xml:space="preserve">VALLEY STREAM </t>
  </si>
  <si>
    <t>HEWLETT-WOODME</t>
  </si>
  <si>
    <t xml:space="preserve">LAWRENCE UFSD </t>
  </si>
  <si>
    <t xml:space="preserve">ELMONT UFSD   </t>
  </si>
  <si>
    <t>GARDEN CITY UF</t>
  </si>
  <si>
    <t xml:space="preserve">LYNBROOK UFSD </t>
  </si>
  <si>
    <t>FLORAL PARK-BE</t>
  </si>
  <si>
    <t xml:space="preserve">WANTAGH UFSD  </t>
  </si>
  <si>
    <t xml:space="preserve">MERRICK UFSD  </t>
  </si>
  <si>
    <t>ISLAND TREES U</t>
  </si>
  <si>
    <t>ISLAND PARK UF</t>
  </si>
  <si>
    <t>SEWANHAKA CENT</t>
  </si>
  <si>
    <t>LONG BEACH CIT</t>
  </si>
  <si>
    <t xml:space="preserve">WESTBURY UFSD </t>
  </si>
  <si>
    <t xml:space="preserve">ROSLYN UFSD   </t>
  </si>
  <si>
    <t>NEW HYDE PARK-</t>
  </si>
  <si>
    <t>GREAT NECK UFS</t>
  </si>
  <si>
    <t xml:space="preserve">HERRICKS UFSD </t>
  </si>
  <si>
    <t xml:space="preserve">MINEOLA UFSD  </t>
  </si>
  <si>
    <t>CARLE PLACE UF</t>
  </si>
  <si>
    <t>NORTH SHORE CS</t>
  </si>
  <si>
    <t xml:space="preserve">SYOSSET CSD   </t>
  </si>
  <si>
    <t xml:space="preserve">PLAINVIEW-OLD </t>
  </si>
  <si>
    <t>OYSTER BAY-EAS</t>
  </si>
  <si>
    <t xml:space="preserve">JERICHO UFSD  </t>
  </si>
  <si>
    <t>HICKSVILLE UFS</t>
  </si>
  <si>
    <t xml:space="preserve">BETHPAGE UFSD </t>
  </si>
  <si>
    <t>FARMINGDALE UF</t>
  </si>
  <si>
    <t>MASSAPEQUA UFS</t>
  </si>
  <si>
    <t>NYC CHANCELLOR</t>
  </si>
  <si>
    <t>LEWISTON-PORTE</t>
  </si>
  <si>
    <t xml:space="preserve">LOCKPORT CITY </t>
  </si>
  <si>
    <t xml:space="preserve">NEWFANE CSD   </t>
  </si>
  <si>
    <t>NIAGARA-WHEATF</t>
  </si>
  <si>
    <t>NORTH TONAWAND</t>
  </si>
  <si>
    <t xml:space="preserve">STARPOINT CSD </t>
  </si>
  <si>
    <t>ROYALTON-HARTL</t>
  </si>
  <si>
    <t xml:space="preserve">BARKER CSD    </t>
  </si>
  <si>
    <t xml:space="preserve">WILSON CSD    </t>
  </si>
  <si>
    <t xml:space="preserve">CAMDEN CSD    </t>
  </si>
  <si>
    <t xml:space="preserve">CLINTON CSD   </t>
  </si>
  <si>
    <t>NEW HARTFORD C</t>
  </si>
  <si>
    <t xml:space="preserve">NY MILLS UFSD </t>
  </si>
  <si>
    <t xml:space="preserve">REMSEN CSD    </t>
  </si>
  <si>
    <t xml:space="preserve">ROME CITY SD  </t>
  </si>
  <si>
    <t xml:space="preserve">SHERRILL CITY </t>
  </si>
  <si>
    <t xml:space="preserve">UTICA CITY SD </t>
  </si>
  <si>
    <t>WESTMORELAND C</t>
  </si>
  <si>
    <t xml:space="preserve">ORISKANY CSD  </t>
  </si>
  <si>
    <t>WEST GENESEE C</t>
  </si>
  <si>
    <t xml:space="preserve">EAST SYRACUSE </t>
  </si>
  <si>
    <t>JORDAN-ELBRIDG</t>
  </si>
  <si>
    <t xml:space="preserve">WESTHILL CSD  </t>
  </si>
  <si>
    <t xml:space="preserve">SOLVAY UFSD   </t>
  </si>
  <si>
    <t xml:space="preserve">LAFAYETTE CSD </t>
  </si>
  <si>
    <t>FAYETTEVILLE-M</t>
  </si>
  <si>
    <t xml:space="preserve">MARCELLUS CSD </t>
  </si>
  <si>
    <t xml:space="preserve">ONONDAGA CSD  </t>
  </si>
  <si>
    <t xml:space="preserve">LIVERPOOL CSD </t>
  </si>
  <si>
    <t xml:space="preserve">LYNCOURT UFSD </t>
  </si>
  <si>
    <t>SKANEATELES CS</t>
  </si>
  <si>
    <t xml:space="preserve">SYRACUSE CITY </t>
  </si>
  <si>
    <t xml:space="preserve">TULLY CSD     </t>
  </si>
  <si>
    <t>CANANDAIGUA CI</t>
  </si>
  <si>
    <t>MANCHESTER-SHO</t>
  </si>
  <si>
    <t xml:space="preserve">NAPLES CSD    </t>
  </si>
  <si>
    <t xml:space="preserve">HONEOYE CSD   </t>
  </si>
  <si>
    <t xml:space="preserve">VICTOR CSD    </t>
  </si>
  <si>
    <t xml:space="preserve">CHESTER UFSD  </t>
  </si>
  <si>
    <t xml:space="preserve">CORNWALL CSD  </t>
  </si>
  <si>
    <t xml:space="preserve">PINE BUSH CSD </t>
  </si>
  <si>
    <t xml:space="preserve">GOSHEN CSD    </t>
  </si>
  <si>
    <t>MIDDLETOWN CIT</t>
  </si>
  <si>
    <t>MONROE-WOODBUR</t>
  </si>
  <si>
    <t>KIRYAS JOEL VI</t>
  </si>
  <si>
    <t>VALLEY CSD (MO</t>
  </si>
  <si>
    <t xml:space="preserve">NEWBURGH CITY </t>
  </si>
  <si>
    <t>PORT JERVIS CI</t>
  </si>
  <si>
    <t xml:space="preserve">TUXEDO UFSD   </t>
  </si>
  <si>
    <t xml:space="preserve">FLORIDA UFSD  </t>
  </si>
  <si>
    <t xml:space="preserve">ALBION CSD    </t>
  </si>
  <si>
    <t xml:space="preserve">KENDALL CSD   </t>
  </si>
  <si>
    <t xml:space="preserve">HOLLEY CSD    </t>
  </si>
  <si>
    <t xml:space="preserve">MEDINA CSD    </t>
  </si>
  <si>
    <t>LYNDONVILLE CS</t>
  </si>
  <si>
    <t>ALTMAR-PARISH-</t>
  </si>
  <si>
    <t xml:space="preserve">HANNIBAL CSD  </t>
  </si>
  <si>
    <t xml:space="preserve">MEXICO CSD    </t>
  </si>
  <si>
    <t xml:space="preserve">PULASKI CSD   </t>
  </si>
  <si>
    <t>SANDY CREEK CS</t>
  </si>
  <si>
    <t xml:space="preserve">PHOENIX CSD   </t>
  </si>
  <si>
    <t>GILBERTSVILLE-</t>
  </si>
  <si>
    <t xml:space="preserve">EDMESTON CSD  </t>
  </si>
  <si>
    <t xml:space="preserve">LAURENS CSD   </t>
  </si>
  <si>
    <t xml:space="preserve">SCHENEVUS CSD </t>
  </si>
  <si>
    <t xml:space="preserve">MILFORD CSD   </t>
  </si>
  <si>
    <t xml:space="preserve">MORRIS CSD    </t>
  </si>
  <si>
    <t>ONEONTA CITY S</t>
  </si>
  <si>
    <t>COOPERSTOWN CS</t>
  </si>
  <si>
    <t>CHERRY VALLEY-</t>
  </si>
  <si>
    <t xml:space="preserve">WORCESTER CSD </t>
  </si>
  <si>
    <t xml:space="preserve">MAHOPAC CSD   </t>
  </si>
  <si>
    <t xml:space="preserve">CARMEL CSD    </t>
  </si>
  <si>
    <t xml:space="preserve">HALDANE CSD   </t>
  </si>
  <si>
    <t xml:space="preserve">GARRISON UFSD </t>
  </si>
  <si>
    <t xml:space="preserve">BREWSTER CSD  </t>
  </si>
  <si>
    <t xml:space="preserve">BERLIN CSD    </t>
  </si>
  <si>
    <t xml:space="preserve">BRUNSWICK CSD </t>
  </si>
  <si>
    <t>LANSINGBURGH C</t>
  </si>
  <si>
    <t>WYNANTSKILL UF</t>
  </si>
  <si>
    <t>RENSSELAER CIT</t>
  </si>
  <si>
    <t>AVERILL PARK C</t>
  </si>
  <si>
    <t xml:space="preserve">SCHODACK CSD  </t>
  </si>
  <si>
    <t xml:space="preserve">TROY CITY SD  </t>
  </si>
  <si>
    <t xml:space="preserve">NANUET UFSD   </t>
  </si>
  <si>
    <t>HAVERSTRAW-STO</t>
  </si>
  <si>
    <t>SOUTH ORANGETO</t>
  </si>
  <si>
    <t xml:space="preserve">NYACK UFSD    </t>
  </si>
  <si>
    <t>PEARL RIVER UF</t>
  </si>
  <si>
    <t xml:space="preserve">SUFFERN CSD   </t>
  </si>
  <si>
    <t>EAST RAMAPO CS</t>
  </si>
  <si>
    <t xml:space="preserve">CANTON CSD    </t>
  </si>
  <si>
    <t>CLIFTON-FINE C</t>
  </si>
  <si>
    <t>COLTON-PIERREP</t>
  </si>
  <si>
    <t xml:space="preserve">HAMMOND CSD   </t>
  </si>
  <si>
    <t xml:space="preserve">HERMON-DEKALB </t>
  </si>
  <si>
    <t xml:space="preserve">LISBON CSD    </t>
  </si>
  <si>
    <t>MADRID-WADDING</t>
  </si>
  <si>
    <t xml:space="preserve">MASSENA CSD   </t>
  </si>
  <si>
    <t>NORWOOD-NORFOL</t>
  </si>
  <si>
    <t>OGDENSBURG CIT</t>
  </si>
  <si>
    <t xml:space="preserve">HEUVELTON CSD </t>
  </si>
  <si>
    <t>PARISHVILLE-HO</t>
  </si>
  <si>
    <t xml:space="preserve">POTSDAM CSD   </t>
  </si>
  <si>
    <t>EDWARDS-KNOX C</t>
  </si>
  <si>
    <t>BURNT HILLS-BA</t>
  </si>
  <si>
    <t>SHENENDEHOWA C</t>
  </si>
  <si>
    <t xml:space="preserve">CORINTH CSD   </t>
  </si>
  <si>
    <t>EDINBURG COMMO</t>
  </si>
  <si>
    <t xml:space="preserve">GALWAY CSD    </t>
  </si>
  <si>
    <t>BALLSTON SPA C</t>
  </si>
  <si>
    <t>SOUTH GLENS FA</t>
  </si>
  <si>
    <t>WATERFORD-HALF</t>
  </si>
  <si>
    <t>SCOTIA-GLENVIL</t>
  </si>
  <si>
    <t xml:space="preserve">NISKAYUNA CSD </t>
  </si>
  <si>
    <t xml:space="preserve">SCHALMONT CSD </t>
  </si>
  <si>
    <t>ROTTERDAM-MOHO</t>
  </si>
  <si>
    <t>SCHENECTADY CI</t>
  </si>
  <si>
    <t>GILBOA-CONESVI</t>
  </si>
  <si>
    <t xml:space="preserve">JEFFERSON CSD </t>
  </si>
  <si>
    <t>MIDDLEBURGH CS</t>
  </si>
  <si>
    <t>COBLESKILL-RIC</t>
  </si>
  <si>
    <t xml:space="preserve">SCHOHARIE CSD </t>
  </si>
  <si>
    <t>ODESSA-MONTOUR</t>
  </si>
  <si>
    <t>WATKINS GLEN C</t>
  </si>
  <si>
    <t>SOUTH SENECA C</t>
  </si>
  <si>
    <t xml:space="preserve">ROMULUS CSD   </t>
  </si>
  <si>
    <t>SENECA FALLS C</t>
  </si>
  <si>
    <t xml:space="preserve">WATERLOO CSD  </t>
  </si>
  <si>
    <t xml:space="preserve">ADDISON CSD   </t>
  </si>
  <si>
    <t xml:space="preserve">AVOCA CSD     </t>
  </si>
  <si>
    <t xml:space="preserve">BATH CSD      </t>
  </si>
  <si>
    <t xml:space="preserve">BRADFORD CSD  </t>
  </si>
  <si>
    <t>CORNING CITY S</t>
  </si>
  <si>
    <t>HORNELL CITY S</t>
  </si>
  <si>
    <t xml:space="preserve">ARKPORT CSD   </t>
  </si>
  <si>
    <t>PRATTSBURGH CS</t>
  </si>
  <si>
    <t>JASPER-TROUPSB</t>
  </si>
  <si>
    <t>HAMMONDSPORT C</t>
  </si>
  <si>
    <t xml:space="preserve">BABYLON UFSD  </t>
  </si>
  <si>
    <t>WEST BABYLON U</t>
  </si>
  <si>
    <t xml:space="preserve">NORTH BABYLON </t>
  </si>
  <si>
    <t>LINDENHURST UF</t>
  </si>
  <si>
    <t xml:space="preserve">COPIAGUE UFSD </t>
  </si>
  <si>
    <t>AMITYVILLE UFS</t>
  </si>
  <si>
    <t>BROOKHAVEN-COM</t>
  </si>
  <si>
    <t xml:space="preserve">SACHEM CSD    </t>
  </si>
  <si>
    <t xml:space="preserve">MT SINAI UFSD </t>
  </si>
  <si>
    <t>MILLER PLACE U</t>
  </si>
  <si>
    <t>ROCKY POINT UF</t>
  </si>
  <si>
    <t xml:space="preserve">LONGWOOD CSD  </t>
  </si>
  <si>
    <t>EAST HAMPTON U</t>
  </si>
  <si>
    <t>AMAGANSETT UFS</t>
  </si>
  <si>
    <t xml:space="preserve">SPRINGS UFSD  </t>
  </si>
  <si>
    <t>SAG HARBOR UFS</t>
  </si>
  <si>
    <t xml:space="preserve">MONTAUK UFSD  </t>
  </si>
  <si>
    <t xml:space="preserve">ELWOOD UFSD   </t>
  </si>
  <si>
    <t>HUNTINGTON UFS</t>
  </si>
  <si>
    <t>NORTHPORT-EAST</t>
  </si>
  <si>
    <t>HARBORFIELDS C</t>
  </si>
  <si>
    <t xml:space="preserve">COMMACK UFSD  </t>
  </si>
  <si>
    <t>SOUTH HUNTINGT</t>
  </si>
  <si>
    <t xml:space="preserve">ISLIP UFSD    </t>
  </si>
  <si>
    <t>EAST ISLIP UFS</t>
  </si>
  <si>
    <t xml:space="preserve">SAYVILLE UFSD </t>
  </si>
  <si>
    <t>BAYPORT-BLUE P</t>
  </si>
  <si>
    <t>WEST ISLIP UFS</t>
  </si>
  <si>
    <t>FIRE ISLAND UF</t>
  </si>
  <si>
    <t xml:space="preserve">RIVERHEAD CSD </t>
  </si>
  <si>
    <t xml:space="preserve">SMITHTOWN CSD </t>
  </si>
  <si>
    <t>REMSENBURG-SPE</t>
  </si>
  <si>
    <t xml:space="preserve">QUOGUE UFSD   </t>
  </si>
  <si>
    <t>HAMPTON BAYS U</t>
  </si>
  <si>
    <t>SOUTHAMPTON UF</t>
  </si>
  <si>
    <t>EAST QUOGUE UF</t>
  </si>
  <si>
    <t>OYSTERPONDS UF</t>
  </si>
  <si>
    <t xml:space="preserve">SOUTHOLD UFSD </t>
  </si>
  <si>
    <t xml:space="preserve">FALLSBURG CSD </t>
  </si>
  <si>
    <t xml:space="preserve">ELDRED CSD    </t>
  </si>
  <si>
    <t xml:space="preserve">LIBERTY CSD   </t>
  </si>
  <si>
    <t xml:space="preserve">ROSCOE CSD    </t>
  </si>
  <si>
    <t xml:space="preserve">SULLIVAN WEST </t>
  </si>
  <si>
    <t xml:space="preserve">WAVERLY CSD   </t>
  </si>
  <si>
    <t xml:space="preserve">CANDOR CSD    </t>
  </si>
  <si>
    <t>SPENCER-VAN ET</t>
  </si>
  <si>
    <t xml:space="preserve">TIOGA CSD     </t>
  </si>
  <si>
    <t xml:space="preserve">DRYDEN CSD    </t>
  </si>
  <si>
    <t xml:space="preserve">GROTON CSD    </t>
  </si>
  <si>
    <t xml:space="preserve">LANSING CSD   </t>
  </si>
  <si>
    <t xml:space="preserve">NEWFIELD CSD  </t>
  </si>
  <si>
    <t>TRUMANSBURG CS</t>
  </si>
  <si>
    <t xml:space="preserve">KINGSTON CITY </t>
  </si>
  <si>
    <t xml:space="preserve">HIGHLAND CSD  </t>
  </si>
  <si>
    <t xml:space="preserve">MARLBORO CSD  </t>
  </si>
  <si>
    <t xml:space="preserve">NEW PALTZ CSD </t>
  </si>
  <si>
    <t xml:space="preserve">ONTEORA CSD   </t>
  </si>
  <si>
    <t xml:space="preserve">WALLKILL CSD  </t>
  </si>
  <si>
    <t xml:space="preserve">BOLTON CSD    </t>
  </si>
  <si>
    <t>NORTH WARREN C</t>
  </si>
  <si>
    <t>GLENS FALLS CI</t>
  </si>
  <si>
    <t xml:space="preserve">JOHNSBURG CSD </t>
  </si>
  <si>
    <t>LAKE GEORGE CS</t>
  </si>
  <si>
    <t>HADLEY-LUZERNE</t>
  </si>
  <si>
    <t>QUEENSBURY UFS</t>
  </si>
  <si>
    <t>WARRENSBURG CS</t>
  </si>
  <si>
    <t xml:space="preserve">ARGYLE CSD    </t>
  </si>
  <si>
    <t xml:space="preserve">FORT ANN CSD  </t>
  </si>
  <si>
    <t>FORT EDWARD UF</t>
  </si>
  <si>
    <t xml:space="preserve">GRANVILLE CSD </t>
  </si>
  <si>
    <t xml:space="preserve">GREENWICH CSD </t>
  </si>
  <si>
    <t xml:space="preserve">HARTFORD CSD  </t>
  </si>
  <si>
    <t>HUDSON FALLS C</t>
  </si>
  <si>
    <t xml:space="preserve">PUTNAM CSD    </t>
  </si>
  <si>
    <t xml:space="preserve">SALEM CSD     </t>
  </si>
  <si>
    <t xml:space="preserve">CAMBRIDGE CSD </t>
  </si>
  <si>
    <t xml:space="preserve">WHITEHALL CSD </t>
  </si>
  <si>
    <t xml:space="preserve">NEWARK CSD    </t>
  </si>
  <si>
    <t xml:space="preserve">LYONS CSD     </t>
  </si>
  <si>
    <t xml:space="preserve">MARION CSD    </t>
  </si>
  <si>
    <t xml:space="preserve">WAYNE CSD     </t>
  </si>
  <si>
    <t xml:space="preserve">GANANDA CSD   </t>
  </si>
  <si>
    <t xml:space="preserve">SODUS CSD     </t>
  </si>
  <si>
    <t>NORTH ROSE-WOL</t>
  </si>
  <si>
    <t xml:space="preserve">RED CREEK CSD </t>
  </si>
  <si>
    <t>KATONAH-LEWISB</t>
  </si>
  <si>
    <t xml:space="preserve">BEDFORD CSD   </t>
  </si>
  <si>
    <t xml:space="preserve">CROTON-HARMON </t>
  </si>
  <si>
    <t>EASTCHESTER UF</t>
  </si>
  <si>
    <t xml:space="preserve">TUCKAHOE UFSD </t>
  </si>
  <si>
    <t>BRONXVILLE UFS</t>
  </si>
  <si>
    <t>UFSD-TARRYTOWN</t>
  </si>
  <si>
    <t>DOBBS FERRY UF</t>
  </si>
  <si>
    <t>HASTINGS-ON-HU</t>
  </si>
  <si>
    <t xml:space="preserve">ARDSLEY UFSD  </t>
  </si>
  <si>
    <t xml:space="preserve">EDGEMONT UFSD </t>
  </si>
  <si>
    <t xml:space="preserve">ELMSFORD UFSD </t>
  </si>
  <si>
    <t xml:space="preserve">HARRISON CSD  </t>
  </si>
  <si>
    <t>MAMARONECK UFS</t>
  </si>
  <si>
    <t>MT PLEASANT CS</t>
  </si>
  <si>
    <t xml:space="preserve">VALHALLA UFSD </t>
  </si>
  <si>
    <t>MT VERNON SCHO</t>
  </si>
  <si>
    <t xml:space="preserve">CHAPPAQUA CSD </t>
  </si>
  <si>
    <t>NEW ROCHELLE C</t>
  </si>
  <si>
    <t>BYRAM HILLS CS</t>
  </si>
  <si>
    <t>NORTH SALEM CS</t>
  </si>
  <si>
    <t xml:space="preserve">OSSINING UFSD </t>
  </si>
  <si>
    <t>PEEKSKILL CITY</t>
  </si>
  <si>
    <t xml:space="preserve">PELHAM UFSD   </t>
  </si>
  <si>
    <t xml:space="preserve">RYE CITY SD   </t>
  </si>
  <si>
    <t xml:space="preserve">RYE NECK UFSD </t>
  </si>
  <si>
    <t>PORT CHESTER-R</t>
  </si>
  <si>
    <t xml:space="preserve">SOMERS CSD    </t>
  </si>
  <si>
    <t>WHITE PLAINS C</t>
  </si>
  <si>
    <t>YONKERS CITY S</t>
  </si>
  <si>
    <t xml:space="preserve">LAKELAND CSD  </t>
  </si>
  <si>
    <t xml:space="preserve">YORKTOWN CSD  </t>
  </si>
  <si>
    <t xml:space="preserve">ATTICA CSD    </t>
  </si>
  <si>
    <t xml:space="preserve">WYOMING CSD   </t>
  </si>
  <si>
    <t xml:space="preserve">PERRY CSD     </t>
  </si>
  <si>
    <t xml:space="preserve">WARSAW CSD    </t>
  </si>
  <si>
    <t xml:space="preserve">PENN YAN CSD  </t>
  </si>
  <si>
    <t xml:space="preserve">DUNDEE CSD    </t>
  </si>
  <si>
    <t>2022-23 PUBLIC FULL DAY K ENROLLMENT</t>
  </si>
  <si>
    <t>2022-23 PUBLIC 1/2  DAY K ENROLLMENT</t>
  </si>
  <si>
    <t>2022-23 CHARTER SCHOOL RES. FULL DAY K ENROLLMENT</t>
  </si>
  <si>
    <t>2022-23 CHARTER SCHOOL RES. 1/2  DAY K ENROLLMENT</t>
  </si>
  <si>
    <t xml:space="preserve">2022-23 NONPUBIC FULL K ENROLLMENT </t>
  </si>
  <si>
    <t>2023-24 EST 4410 4-YEAR-OLDS &gt; 4 HRS PRGM</t>
  </si>
  <si>
    <t>Half Day
4s</t>
  </si>
  <si>
    <t>Full Day
4s</t>
  </si>
  <si>
    <t>Type of Provider
UPK &amp; TPK</t>
  </si>
  <si>
    <t>BOCES (Includes TPK BOCES)</t>
  </si>
  <si>
    <t>PreK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</si>
</sst>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2"/>
      <color theme="1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7" fillId="0" borderId="0"/>
    <xf numFmtId="0" fontId="1" fillId="0" borderId="0"/>
    <xf numFmtId="0" fontId="6" fillId="0" borderId="0"/>
    <xf numFmtId="0" fontId="1" fillId="0" borderId="0"/>
  </cellStyleXfs>
  <cellXfs count="122">
    <xf numFmtId="0" fontId="0" fillId="0" borderId="0" xfId="0"/>
    <xf numFmtId="0" fontId="0" fillId="2" borderId="0" xfId="0" applyFill="1"/>
    <xf numFmtId="0" fontId="2" fillId="0" borderId="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0" borderId="4" xfId="0" applyBorder="1"/>
    <xf numFmtId="37" fontId="0" fillId="0" borderId="4" xfId="0" applyNumberFormat="1" applyBorder="1"/>
    <xf numFmtId="37" fontId="1" fillId="0" borderId="13" xfId="1" applyNumberFormat="1" applyBorder="1"/>
    <xf numFmtId="37" fontId="1" fillId="0" borderId="14" xfId="1" applyNumberFormat="1" applyBorder="1"/>
    <xf numFmtId="37" fontId="1" fillId="4" borderId="15" xfId="1" applyNumberFormat="1" applyFill="1" applyBorder="1" applyAlignment="1">
      <alignment horizontal="right" wrapText="1"/>
    </xf>
    <xf numFmtId="37" fontId="1" fillId="4" borderId="14" xfId="1" applyNumberFormat="1" applyFill="1" applyBorder="1" applyAlignment="1">
      <alignment horizontal="right" wrapText="1"/>
    </xf>
    <xf numFmtId="9" fontId="1" fillId="0" borderId="15" xfId="2" applyBorder="1"/>
    <xf numFmtId="49" fontId="0" fillId="0" borderId="3" xfId="0" applyNumberFormat="1" applyBorder="1"/>
    <xf numFmtId="0" fontId="0" fillId="0" borderId="16" xfId="0" applyBorder="1"/>
    <xf numFmtId="0" fontId="0" fillId="2" borderId="19" xfId="0" applyFill="1" applyBorder="1"/>
    <xf numFmtId="0" fontId="0" fillId="0" borderId="20" xfId="0" applyBorder="1"/>
    <xf numFmtId="0" fontId="0" fillId="0" borderId="13" xfId="0" applyBorder="1"/>
    <xf numFmtId="164" fontId="1" fillId="0" borderId="4" xfId="1" applyNumberFormat="1" applyBorder="1"/>
    <xf numFmtId="0" fontId="0" fillId="5" borderId="20" xfId="0" applyFill="1" applyBorder="1"/>
    <xf numFmtId="0" fontId="0" fillId="5" borderId="21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3" fillId="5" borderId="23" xfId="0" applyFont="1" applyFill="1" applyBorder="1"/>
    <xf numFmtId="164" fontId="3" fillId="5" borderId="24" xfId="1" applyNumberFormat="1" applyFont="1" applyFill="1" applyBorder="1"/>
    <xf numFmtId="10" fontId="3" fillId="5" borderId="25" xfId="2" applyNumberFormat="1" applyFont="1" applyFill="1" applyBorder="1"/>
    <xf numFmtId="0" fontId="0" fillId="0" borderId="5" xfId="0" applyBorder="1"/>
    <xf numFmtId="164" fontId="1" fillId="0" borderId="9" xfId="1" applyNumberFormat="1" applyBorder="1"/>
    <xf numFmtId="10" fontId="1" fillId="0" borderId="6" xfId="2" applyNumberFormat="1" applyBorder="1"/>
    <xf numFmtId="10" fontId="1" fillId="0" borderId="14" xfId="2" applyNumberFormat="1" applyBorder="1"/>
    <xf numFmtId="0" fontId="0" fillId="0" borderId="17" xfId="0" applyBorder="1"/>
    <xf numFmtId="164" fontId="1" fillId="0" borderId="18" xfId="1" applyNumberFormat="1" applyBorder="1"/>
    <xf numFmtId="10" fontId="1" fillId="0" borderId="26" xfId="2" applyNumberFormat="1" applyBorder="1"/>
    <xf numFmtId="0" fontId="4" fillId="0" borderId="20" xfId="0" applyFont="1" applyBorder="1"/>
    <xf numFmtId="0" fontId="4" fillId="0" borderId="28" xfId="0" applyFont="1" applyBorder="1"/>
    <xf numFmtId="37" fontId="4" fillId="3" borderId="29" xfId="0" applyNumberFormat="1" applyFont="1" applyFill="1" applyBorder="1"/>
    <xf numFmtId="37" fontId="4" fillId="3" borderId="21" xfId="0" applyNumberFormat="1" applyFont="1" applyFill="1" applyBorder="1"/>
    <xf numFmtId="10" fontId="4" fillId="3" borderId="30" xfId="2" applyNumberFormat="1" applyFont="1" applyFill="1" applyBorder="1"/>
    <xf numFmtId="0" fontId="0" fillId="0" borderId="31" xfId="0" applyBorder="1"/>
    <xf numFmtId="0" fontId="0" fillId="2" borderId="16" xfId="0" applyFill="1" applyBorder="1"/>
    <xf numFmtId="14" fontId="0" fillId="0" borderId="0" xfId="0" applyNumberFormat="1"/>
    <xf numFmtId="3" fontId="0" fillId="0" borderId="0" xfId="0" applyNumberFormat="1"/>
    <xf numFmtId="0" fontId="2" fillId="3" borderId="27" xfId="0" applyFont="1" applyFill="1" applyBorder="1" applyAlignment="1">
      <alignment horizontal="centerContinuous" vertical="center" wrapText="1"/>
    </xf>
    <xf numFmtId="0" fontId="2" fillId="3" borderId="2" xfId="0" applyFont="1" applyFill="1" applyBorder="1" applyAlignment="1">
      <alignment horizontal="centerContinuous" vertical="center" wrapText="1"/>
    </xf>
    <xf numFmtId="0" fontId="2" fillId="3" borderId="32" xfId="0" applyFont="1" applyFill="1" applyBorder="1" applyAlignment="1">
      <alignment horizontal="centerContinuous" vertical="center" wrapText="1"/>
    </xf>
    <xf numFmtId="37" fontId="0" fillId="0" borderId="0" xfId="0" applyNumberFormat="1"/>
    <xf numFmtId="49" fontId="2" fillId="0" borderId="3" xfId="0" applyNumberFormat="1" applyFont="1" applyBorder="1" applyAlignment="1">
      <alignment horizontal="center" vertical="center"/>
    </xf>
    <xf numFmtId="0" fontId="2" fillId="0" borderId="0" xfId="0" applyFont="1"/>
    <xf numFmtId="37" fontId="4" fillId="3" borderId="9" xfId="0" applyNumberFormat="1" applyFont="1" applyFill="1" applyBorder="1"/>
    <xf numFmtId="0" fontId="0" fillId="0" borderId="12" xfId="0" applyBorder="1"/>
    <xf numFmtId="37" fontId="4" fillId="3" borderId="1" xfId="0" applyNumberFormat="1" applyFont="1" applyFill="1" applyBorder="1"/>
    <xf numFmtId="37" fontId="4" fillId="3" borderId="36" xfId="0" applyNumberFormat="1" applyFont="1" applyFill="1" applyBorder="1"/>
    <xf numFmtId="37" fontId="4" fillId="3" borderId="19" xfId="0" applyNumberFormat="1" applyFont="1" applyFill="1" applyBorder="1"/>
    <xf numFmtId="37" fontId="4" fillId="3" borderId="37" xfId="0" applyNumberFormat="1" applyFont="1" applyFill="1" applyBorder="1"/>
    <xf numFmtId="37" fontId="1" fillId="0" borderId="4" xfId="1" applyNumberFormat="1" applyBorder="1"/>
    <xf numFmtId="49" fontId="2" fillId="2" borderId="38" xfId="0" applyNumberFormat="1" applyFont="1" applyFill="1" applyBorder="1" applyAlignment="1">
      <alignment horizontal="center" vertical="center" wrapText="1"/>
    </xf>
    <xf numFmtId="37" fontId="1" fillId="0" borderId="17" xfId="1" applyNumberFormat="1" applyBorder="1"/>
    <xf numFmtId="37" fontId="1" fillId="0" borderId="18" xfId="1" applyNumberFormat="1" applyBorder="1"/>
    <xf numFmtId="37" fontId="1" fillId="0" borderId="26" xfId="1" applyNumberFormat="1" applyBorder="1"/>
    <xf numFmtId="37" fontId="1" fillId="2" borderId="13" xfId="1" applyNumberFormat="1" applyFill="1" applyBorder="1"/>
    <xf numFmtId="37" fontId="1" fillId="2" borderId="17" xfId="1" applyNumberFormat="1" applyFill="1" applyBorder="1"/>
    <xf numFmtId="37" fontId="0" fillId="0" borderId="13" xfId="0" applyNumberFormat="1" applyBorder="1"/>
    <xf numFmtId="37" fontId="0" fillId="0" borderId="14" xfId="0" applyNumberFormat="1" applyBorder="1"/>
    <xf numFmtId="37" fontId="0" fillId="0" borderId="17" xfId="0" applyNumberFormat="1" applyBorder="1"/>
    <xf numFmtId="0" fontId="2" fillId="0" borderId="12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 wrapText="1"/>
    </xf>
    <xf numFmtId="37" fontId="0" fillId="0" borderId="18" xfId="0" applyNumberFormat="1" applyBorder="1"/>
    <xf numFmtId="37" fontId="0" fillId="0" borderId="26" xfId="0" applyNumberFormat="1" applyBorder="1"/>
    <xf numFmtId="37" fontId="1" fillId="0" borderId="12" xfId="1" applyNumberFormat="1" applyBorder="1"/>
    <xf numFmtId="37" fontId="1" fillId="0" borderId="33" xfId="1" applyNumberFormat="1" applyBorder="1"/>
    <xf numFmtId="37" fontId="1" fillId="0" borderId="15" xfId="1" applyNumberFormat="1" applyBorder="1"/>
    <xf numFmtId="37" fontId="1" fillId="0" borderId="34" xfId="1" applyNumberFormat="1" applyBorder="1"/>
    <xf numFmtId="49" fontId="2" fillId="2" borderId="39" xfId="0" applyNumberFormat="1" applyFont="1" applyFill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37" fontId="1" fillId="2" borderId="15" xfId="1" applyNumberFormat="1" applyFill="1" applyBorder="1"/>
    <xf numFmtId="37" fontId="1" fillId="2" borderId="34" xfId="1" applyNumberFormat="1" applyFill="1" applyBorder="1"/>
    <xf numFmtId="0" fontId="0" fillId="2" borderId="31" xfId="0" applyFill="1" applyBorder="1"/>
    <xf numFmtId="0" fontId="0" fillId="2" borderId="0" xfId="0" applyFill="1" applyBorder="1"/>
    <xf numFmtId="37" fontId="1" fillId="2" borderId="18" xfId="1" applyNumberFormat="1" applyFill="1" applyBorder="1"/>
    <xf numFmtId="0" fontId="0" fillId="0" borderId="41" xfId="0" applyBorder="1"/>
    <xf numFmtId="0" fontId="5" fillId="0" borderId="0" xfId="3"/>
    <xf numFmtId="37" fontId="1" fillId="0" borderId="42" xfId="1" applyNumberFormat="1" applyBorder="1"/>
    <xf numFmtId="37" fontId="1" fillId="0" borderId="43" xfId="1" applyNumberFormat="1" applyBorder="1"/>
    <xf numFmtId="0" fontId="1" fillId="0" borderId="13" xfId="0" applyFont="1" applyBorder="1"/>
    <xf numFmtId="3" fontId="1" fillId="0" borderId="14" xfId="0" applyNumberFormat="1" applyFont="1" applyBorder="1"/>
    <xf numFmtId="0" fontId="1" fillId="0" borderId="17" xfId="0" applyFont="1" applyBorder="1"/>
    <xf numFmtId="3" fontId="1" fillId="0" borderId="26" xfId="0" applyNumberFormat="1" applyFont="1" applyBorder="1"/>
    <xf numFmtId="0" fontId="1" fillId="0" borderId="13" xfId="3" applyFont="1" applyBorder="1"/>
    <xf numFmtId="3" fontId="1" fillId="0" borderId="4" xfId="3" applyNumberFormat="1" applyFont="1" applyBorder="1"/>
    <xf numFmtId="3" fontId="1" fillId="0" borderId="18" xfId="3" applyNumberFormat="1" applyFont="1" applyBorder="1"/>
    <xf numFmtId="0" fontId="1" fillId="0" borderId="0" xfId="3" applyFont="1"/>
    <xf numFmtId="0" fontId="1" fillId="0" borderId="13" xfId="3" applyFont="1" applyFill="1" applyBorder="1" applyAlignment="1">
      <alignment horizontal="left" wrapText="1"/>
    </xf>
    <xf numFmtId="0" fontId="1" fillId="0" borderId="17" xfId="3" applyFont="1" applyFill="1" applyBorder="1" applyAlignment="1">
      <alignment horizontal="left" wrapText="1"/>
    </xf>
    <xf numFmtId="3" fontId="1" fillId="0" borderId="14" xfId="3" applyNumberFormat="1" applyFont="1" applyBorder="1"/>
    <xf numFmtId="3" fontId="1" fillId="0" borderId="26" xfId="3" applyNumberFormat="1" applyFont="1" applyBorder="1"/>
    <xf numFmtId="0" fontId="2" fillId="7" borderId="5" xfId="0" applyFont="1" applyFill="1" applyBorder="1" applyAlignment="1">
      <alignment horizontal="center" wrapText="1"/>
    </xf>
    <xf numFmtId="0" fontId="2" fillId="6" borderId="5" xfId="0" applyFont="1" applyFill="1" applyBorder="1" applyAlignment="1">
      <alignment horizontal="center" wrapText="1"/>
    </xf>
    <xf numFmtId="0" fontId="2" fillId="0" borderId="5" xfId="3" applyFont="1" applyBorder="1" applyAlignment="1">
      <alignment horizontal="center" vertical="center"/>
    </xf>
    <xf numFmtId="3" fontId="5" fillId="0" borderId="0" xfId="3" applyNumberFormat="1"/>
    <xf numFmtId="0" fontId="1" fillId="0" borderId="6" xfId="3" applyFont="1" applyBorder="1" applyAlignment="1">
      <alignment horizontal="center" wrapText="1"/>
    </xf>
    <xf numFmtId="0" fontId="2" fillId="0" borderId="17" xfId="3" applyFont="1" applyBorder="1"/>
    <xf numFmtId="3" fontId="2" fillId="0" borderId="26" xfId="3" applyNumberFormat="1" applyFont="1" applyBorder="1"/>
    <xf numFmtId="49" fontId="2" fillId="0" borderId="44" xfId="0" applyNumberFormat="1" applyFont="1" applyBorder="1" applyAlignment="1">
      <alignment horizontal="center" vertical="center" wrapText="1"/>
    </xf>
    <xf numFmtId="37" fontId="4" fillId="3" borderId="0" xfId="0" applyNumberFormat="1" applyFont="1" applyFill="1" applyBorder="1"/>
    <xf numFmtId="37" fontId="1" fillId="2" borderId="4" xfId="1" applyNumberFormat="1" applyFill="1" applyBorder="1"/>
    <xf numFmtId="37" fontId="4" fillId="3" borderId="7" xfId="0" applyNumberFormat="1" applyFont="1" applyFill="1" applyBorder="1"/>
    <xf numFmtId="0" fontId="2" fillId="3" borderId="35" xfId="0" applyFont="1" applyFill="1" applyBorder="1" applyAlignment="1">
      <alignment horizontal="centerContinuous" vertical="center" wrapText="1"/>
    </xf>
    <xf numFmtId="0" fontId="2" fillId="0" borderId="0" xfId="0" applyFont="1" applyAlignment="1">
      <alignment wrapText="1"/>
    </xf>
    <xf numFmtId="0" fontId="1" fillId="0" borderId="9" xfId="3" applyFont="1" applyBorder="1" applyAlignment="1">
      <alignment horizontal="center" wrapText="1"/>
    </xf>
    <xf numFmtId="0" fontId="1" fillId="0" borderId="6" xfId="3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</cellXfs>
  <cellStyles count="13">
    <cellStyle name="Comma" xfId="1" builtinId="3"/>
    <cellStyle name="Comma 2" xfId="5" xr:uid="{019EC71A-CCC8-4BA2-B02E-ADCDC565FBD6}"/>
    <cellStyle name="Normal" xfId="0" builtinId="0"/>
    <cellStyle name="Normal 2" xfId="3" xr:uid="{FDF99E43-ED7E-4D41-8887-851DD0E4F63D}"/>
    <cellStyle name="Normal 2 2" xfId="4" xr:uid="{2C2C254B-BE5A-465E-BF09-D71BFAF394C9}"/>
    <cellStyle name="Normal 2 3" xfId="6" xr:uid="{B7703915-634F-461A-8F70-42EDB27680EF}"/>
    <cellStyle name="Normal 2 4" xfId="7" xr:uid="{9777D4AA-AE06-4472-8CD6-0F6047CA5DEB}"/>
    <cellStyle name="Normal 3" xfId="8" xr:uid="{0379CC13-235B-4345-95F0-6FF87BC8E2E3}"/>
    <cellStyle name="Normal 3 2 2 2" xfId="11" xr:uid="{304330ED-FFF7-4DDF-95B8-78442A95CAA2}"/>
    <cellStyle name="Normal 4" xfId="9" xr:uid="{C9C5B35C-CFBD-42AD-BDFD-F837EDF814A3}"/>
    <cellStyle name="Normal 7" xfId="12" xr:uid="{87A27A51-8A91-4B3C-8817-0626E2F30E7F}"/>
    <cellStyle name="Normal 8" xfId="10" xr:uid="{2D2F07B9-596E-459B-B33E-57E39BA3FCE8}"/>
    <cellStyle name="Percent" xfId="2" builtinId="5"/>
  </cellStyles>
  <dxfs count="0"/>
  <tableStyles count="1" defaultTableStyle="TableStyleMedium2" defaultPivotStyle="PivotStyleLight16">
    <tableStyle name="Invisible" pivot="0" table="0" count="0" xr9:uid="{66F362DE-5B64-41D4-BA21-8A2750CDA0E6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FE63F-8889-47AE-B1A9-FA273DF0E1D2}">
  <dimension ref="A1:I675"/>
  <sheetViews>
    <sheetView topLeftCell="A659" workbookViewId="0">
      <selection activeCell="B675" sqref="B675"/>
    </sheetView>
  </sheetViews>
  <sheetFormatPr defaultRowHeight="14.5" x14ac:dyDescent="0.35"/>
  <cols>
    <col min="2" max="2" width="19.7265625" bestFit="1" customWidth="1"/>
  </cols>
  <sheetData>
    <row r="1" spans="1:9" ht="101.5" x14ac:dyDescent="0.35">
      <c r="A1" s="113" t="s">
        <v>1548</v>
      </c>
      <c r="B1" s="52" t="s">
        <v>1549</v>
      </c>
      <c r="C1" s="113" t="s">
        <v>2053</v>
      </c>
      <c r="D1" s="113" t="s">
        <v>2054</v>
      </c>
      <c r="E1" s="113" t="s">
        <v>2055</v>
      </c>
      <c r="F1" s="113" t="s">
        <v>2056</v>
      </c>
      <c r="G1" s="113" t="s">
        <v>2057</v>
      </c>
      <c r="H1" s="113" t="s">
        <v>2058</v>
      </c>
      <c r="I1" s="113" t="s">
        <v>1550</v>
      </c>
    </row>
    <row r="2" spans="1:9" x14ac:dyDescent="0.35">
      <c r="A2" t="str">
        <f>"010100"</f>
        <v>010100</v>
      </c>
      <c r="B2" t="s">
        <v>1505</v>
      </c>
      <c r="C2" s="46">
        <v>590</v>
      </c>
      <c r="D2" s="46">
        <v>0</v>
      </c>
      <c r="E2" s="46">
        <v>198</v>
      </c>
      <c r="F2" s="46">
        <v>0</v>
      </c>
      <c r="G2" s="46">
        <v>73</v>
      </c>
      <c r="H2" s="46">
        <v>70</v>
      </c>
      <c r="I2" s="46">
        <f t="shared" ref="I2:I65" si="0">MAX(TRUNC((C2+D2+E2+F2+G2-H2)*0.85,0),0)</f>
        <v>672</v>
      </c>
    </row>
    <row r="3" spans="1:9" x14ac:dyDescent="0.35">
      <c r="A3" t="str">
        <f>"010201"</f>
        <v>010201</v>
      </c>
      <c r="B3" t="s">
        <v>1551</v>
      </c>
      <c r="C3" s="46">
        <v>47</v>
      </c>
      <c r="D3" s="46">
        <v>0</v>
      </c>
      <c r="E3" s="46">
        <v>0</v>
      </c>
      <c r="F3" s="46">
        <v>0</v>
      </c>
      <c r="G3" s="46">
        <v>2</v>
      </c>
      <c r="H3" s="46">
        <v>0</v>
      </c>
      <c r="I3" s="46">
        <f t="shared" si="0"/>
        <v>41</v>
      </c>
    </row>
    <row r="4" spans="1:9" x14ac:dyDescent="0.35">
      <c r="A4" t="str">
        <f>"010306"</f>
        <v>010306</v>
      </c>
      <c r="B4" t="s">
        <v>1552</v>
      </c>
      <c r="C4" s="46">
        <v>272</v>
      </c>
      <c r="D4" s="46">
        <v>0</v>
      </c>
      <c r="E4" s="46">
        <v>0</v>
      </c>
      <c r="F4" s="46">
        <v>0</v>
      </c>
      <c r="G4" s="46">
        <v>38</v>
      </c>
      <c r="H4" s="46">
        <v>0</v>
      </c>
      <c r="I4" s="46">
        <f t="shared" si="0"/>
        <v>263</v>
      </c>
    </row>
    <row r="5" spans="1:9" x14ac:dyDescent="0.35">
      <c r="A5" t="str">
        <f>"010402"</f>
        <v>010402</v>
      </c>
      <c r="B5" t="s">
        <v>1553</v>
      </c>
      <c r="C5" s="46">
        <v>123</v>
      </c>
      <c r="D5" s="46">
        <v>0</v>
      </c>
      <c r="E5" s="46">
        <v>3</v>
      </c>
      <c r="F5" s="46">
        <v>0</v>
      </c>
      <c r="G5" s="46">
        <v>0</v>
      </c>
      <c r="H5" s="46">
        <v>0</v>
      </c>
      <c r="I5" s="46">
        <f t="shared" si="0"/>
        <v>107</v>
      </c>
    </row>
    <row r="6" spans="1:9" x14ac:dyDescent="0.35">
      <c r="A6" t="str">
        <f>"010500"</f>
        <v>010500</v>
      </c>
      <c r="B6" t="s">
        <v>1508</v>
      </c>
      <c r="C6" s="46">
        <v>150</v>
      </c>
      <c r="D6" s="46">
        <v>0</v>
      </c>
      <c r="E6" s="46">
        <v>18</v>
      </c>
      <c r="F6" s="46">
        <v>0</v>
      </c>
      <c r="G6" s="46">
        <v>0</v>
      </c>
      <c r="H6" s="46">
        <v>20</v>
      </c>
      <c r="I6" s="46">
        <f t="shared" si="0"/>
        <v>125</v>
      </c>
    </row>
    <row r="7" spans="1:9" x14ac:dyDescent="0.35">
      <c r="A7" t="str">
        <f>"010601"</f>
        <v>010601</v>
      </c>
      <c r="B7" t="s">
        <v>28</v>
      </c>
      <c r="C7" s="46">
        <v>332</v>
      </c>
      <c r="D7" s="46">
        <v>0</v>
      </c>
      <c r="E7" s="46">
        <v>5</v>
      </c>
      <c r="F7" s="46">
        <v>0</v>
      </c>
      <c r="G7" s="46">
        <v>27</v>
      </c>
      <c r="H7" s="46">
        <v>18</v>
      </c>
      <c r="I7" s="46">
        <f t="shared" si="0"/>
        <v>294</v>
      </c>
    </row>
    <row r="8" spans="1:9" x14ac:dyDescent="0.35">
      <c r="A8" t="str">
        <f>"010615"</f>
        <v>010615</v>
      </c>
      <c r="B8" t="s">
        <v>1554</v>
      </c>
      <c r="C8" s="46">
        <v>37</v>
      </c>
      <c r="D8" s="46">
        <v>0</v>
      </c>
      <c r="E8" s="46">
        <v>3</v>
      </c>
      <c r="F8" s="46">
        <v>0</v>
      </c>
      <c r="G8" s="46">
        <v>0</v>
      </c>
      <c r="H8" s="46">
        <v>4</v>
      </c>
      <c r="I8" s="46">
        <f t="shared" si="0"/>
        <v>30</v>
      </c>
    </row>
    <row r="9" spans="1:9" x14ac:dyDescent="0.35">
      <c r="A9" t="str">
        <f>"010623"</f>
        <v>010623</v>
      </c>
      <c r="B9" t="s">
        <v>32</v>
      </c>
      <c r="C9" s="46">
        <v>366</v>
      </c>
      <c r="D9" s="46">
        <v>0</v>
      </c>
      <c r="E9" s="46">
        <v>2</v>
      </c>
      <c r="F9" s="46">
        <v>0</v>
      </c>
      <c r="G9" s="46">
        <v>92</v>
      </c>
      <c r="H9" s="46">
        <v>16</v>
      </c>
      <c r="I9" s="46">
        <f t="shared" si="0"/>
        <v>377</v>
      </c>
    </row>
    <row r="10" spans="1:9" x14ac:dyDescent="0.35">
      <c r="A10" t="str">
        <f>"010701"</f>
        <v>010701</v>
      </c>
      <c r="B10" t="s">
        <v>1555</v>
      </c>
      <c r="C10" s="46">
        <v>15</v>
      </c>
      <c r="D10" s="46">
        <v>0</v>
      </c>
      <c r="E10" s="46">
        <v>0</v>
      </c>
      <c r="F10" s="46">
        <v>0</v>
      </c>
      <c r="G10" s="46">
        <v>0</v>
      </c>
      <c r="H10" s="46">
        <v>2</v>
      </c>
      <c r="I10" s="46">
        <f t="shared" si="0"/>
        <v>11</v>
      </c>
    </row>
    <row r="11" spans="1:9" x14ac:dyDescent="0.35">
      <c r="A11" t="str">
        <f>"010802"</f>
        <v>010802</v>
      </c>
      <c r="B11" t="s">
        <v>1556</v>
      </c>
      <c r="C11" s="46">
        <v>357</v>
      </c>
      <c r="D11" s="46">
        <v>0</v>
      </c>
      <c r="E11" s="46">
        <v>1</v>
      </c>
      <c r="F11" s="46">
        <v>0</v>
      </c>
      <c r="G11" s="46">
        <v>22</v>
      </c>
      <c r="H11" s="46">
        <v>18</v>
      </c>
      <c r="I11" s="46">
        <f t="shared" si="0"/>
        <v>307</v>
      </c>
    </row>
    <row r="12" spans="1:9" x14ac:dyDescent="0.35">
      <c r="A12" t="str">
        <f>"011003"</f>
        <v>011003</v>
      </c>
      <c r="B12" t="s">
        <v>38</v>
      </c>
      <c r="C12" s="46">
        <v>84</v>
      </c>
      <c r="D12" s="46">
        <v>0</v>
      </c>
      <c r="E12" s="46">
        <v>0</v>
      </c>
      <c r="F12" s="46">
        <v>0</v>
      </c>
      <c r="G12" s="46">
        <v>0</v>
      </c>
      <c r="H12" s="46">
        <v>4</v>
      </c>
      <c r="I12" s="46">
        <f t="shared" si="0"/>
        <v>68</v>
      </c>
    </row>
    <row r="13" spans="1:9" x14ac:dyDescent="0.35">
      <c r="A13" t="str">
        <f>"011200"</f>
        <v>011200</v>
      </c>
      <c r="B13" t="s">
        <v>1557</v>
      </c>
      <c r="C13" s="46">
        <v>111</v>
      </c>
      <c r="D13" s="46">
        <v>0</v>
      </c>
      <c r="E13" s="46">
        <v>5</v>
      </c>
      <c r="F13" s="46">
        <v>0</v>
      </c>
      <c r="G13" s="46">
        <v>0</v>
      </c>
      <c r="H13" s="46">
        <v>15</v>
      </c>
      <c r="I13" s="46">
        <f t="shared" si="0"/>
        <v>85</v>
      </c>
    </row>
    <row r="14" spans="1:9" x14ac:dyDescent="0.35">
      <c r="A14" t="str">
        <f>"020101"</f>
        <v>020101</v>
      </c>
      <c r="B14" t="s">
        <v>1558</v>
      </c>
      <c r="C14" s="46">
        <v>25</v>
      </c>
      <c r="D14" s="46">
        <v>0</v>
      </c>
      <c r="E14" s="46">
        <v>0</v>
      </c>
      <c r="F14" s="46">
        <v>0</v>
      </c>
      <c r="G14" s="46">
        <v>0</v>
      </c>
      <c r="H14" s="46">
        <v>2</v>
      </c>
      <c r="I14" s="46">
        <f t="shared" si="0"/>
        <v>19</v>
      </c>
    </row>
    <row r="15" spans="1:9" x14ac:dyDescent="0.35">
      <c r="A15" t="str">
        <f>"020601"</f>
        <v>020601</v>
      </c>
      <c r="B15" t="s">
        <v>1559</v>
      </c>
      <c r="C15" s="46">
        <v>17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f t="shared" si="0"/>
        <v>14</v>
      </c>
    </row>
    <row r="16" spans="1:9" x14ac:dyDescent="0.35">
      <c r="A16" t="str">
        <f>"020702"</f>
        <v>020702</v>
      </c>
      <c r="B16" t="s">
        <v>47</v>
      </c>
      <c r="C16" s="46">
        <v>41</v>
      </c>
      <c r="D16" s="46">
        <v>0</v>
      </c>
      <c r="E16" s="46">
        <v>0</v>
      </c>
      <c r="F16" s="46">
        <v>0</v>
      </c>
      <c r="G16" s="46">
        <v>0</v>
      </c>
      <c r="H16" s="46">
        <v>3</v>
      </c>
      <c r="I16" s="46">
        <f t="shared" si="0"/>
        <v>32</v>
      </c>
    </row>
    <row r="17" spans="1:9" x14ac:dyDescent="0.35">
      <c r="A17" t="str">
        <f>"020801"</f>
        <v>020801</v>
      </c>
      <c r="B17" t="s">
        <v>1560</v>
      </c>
      <c r="C17" s="46">
        <v>25</v>
      </c>
      <c r="D17" s="46">
        <v>0</v>
      </c>
      <c r="E17" s="46">
        <v>0</v>
      </c>
      <c r="F17" s="46">
        <v>0</v>
      </c>
      <c r="G17" s="46">
        <v>0</v>
      </c>
      <c r="H17" s="46">
        <v>1</v>
      </c>
      <c r="I17" s="46">
        <f t="shared" si="0"/>
        <v>20</v>
      </c>
    </row>
    <row r="18" spans="1:9" x14ac:dyDescent="0.35">
      <c r="A18" t="str">
        <f>"021102"</f>
        <v>021102</v>
      </c>
      <c r="B18" t="s">
        <v>1518</v>
      </c>
      <c r="C18" s="46">
        <v>13</v>
      </c>
      <c r="D18" s="46">
        <v>0</v>
      </c>
      <c r="E18" s="46">
        <v>0</v>
      </c>
      <c r="F18" s="46">
        <v>0</v>
      </c>
      <c r="G18" s="46">
        <v>0</v>
      </c>
      <c r="H18" s="46">
        <v>1</v>
      </c>
      <c r="I18" s="46">
        <f t="shared" si="0"/>
        <v>10</v>
      </c>
    </row>
    <row r="19" spans="1:9" x14ac:dyDescent="0.35">
      <c r="A19" t="str">
        <f>"021601"</f>
        <v>021601</v>
      </c>
      <c r="B19" t="s">
        <v>1524</v>
      </c>
      <c r="C19" s="46">
        <v>20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f t="shared" si="0"/>
        <v>17</v>
      </c>
    </row>
    <row r="20" spans="1:9" x14ac:dyDescent="0.35">
      <c r="A20" t="str">
        <f>"022001"</f>
        <v>022001</v>
      </c>
      <c r="B20" t="s">
        <v>1561</v>
      </c>
      <c r="C20" s="46">
        <v>40</v>
      </c>
      <c r="D20" s="46">
        <v>0</v>
      </c>
      <c r="E20" s="46">
        <v>0</v>
      </c>
      <c r="F20" s="46">
        <v>0</v>
      </c>
      <c r="G20" s="46">
        <v>0</v>
      </c>
      <c r="H20" s="46">
        <v>2</v>
      </c>
      <c r="I20" s="46">
        <f t="shared" si="0"/>
        <v>32</v>
      </c>
    </row>
    <row r="21" spans="1:9" x14ac:dyDescent="0.35">
      <c r="A21" t="str">
        <f>"022101"</f>
        <v>022101</v>
      </c>
      <c r="B21" t="s">
        <v>1562</v>
      </c>
      <c r="C21" s="46">
        <v>10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f t="shared" si="0"/>
        <v>8</v>
      </c>
    </row>
    <row r="22" spans="1:9" x14ac:dyDescent="0.35">
      <c r="A22" t="str">
        <f>"022302"</f>
        <v>022302</v>
      </c>
      <c r="B22" t="s">
        <v>59</v>
      </c>
      <c r="C22" s="46">
        <v>47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f t="shared" si="0"/>
        <v>39</v>
      </c>
    </row>
    <row r="23" spans="1:9" x14ac:dyDescent="0.35">
      <c r="A23" t="str">
        <f>"022401"</f>
        <v>022401</v>
      </c>
      <c r="B23" t="s">
        <v>1563</v>
      </c>
      <c r="C23" s="46">
        <v>24</v>
      </c>
      <c r="D23" s="46">
        <v>0</v>
      </c>
      <c r="E23" s="46">
        <v>0</v>
      </c>
      <c r="F23" s="46">
        <v>0</v>
      </c>
      <c r="G23" s="46">
        <v>0</v>
      </c>
      <c r="H23" s="46">
        <v>1</v>
      </c>
      <c r="I23" s="46">
        <f t="shared" si="0"/>
        <v>19</v>
      </c>
    </row>
    <row r="24" spans="1:9" x14ac:dyDescent="0.35">
      <c r="A24" t="str">
        <f>"022601"</f>
        <v>022601</v>
      </c>
      <c r="B24" t="s">
        <v>1543</v>
      </c>
      <c r="C24" s="46">
        <v>68</v>
      </c>
      <c r="D24" s="46">
        <v>0</v>
      </c>
      <c r="E24" s="46">
        <v>0</v>
      </c>
      <c r="F24" s="46">
        <v>0</v>
      </c>
      <c r="G24" s="46">
        <v>0</v>
      </c>
      <c r="H24" s="46">
        <v>4</v>
      </c>
      <c r="I24" s="46">
        <f t="shared" si="0"/>
        <v>54</v>
      </c>
    </row>
    <row r="25" spans="1:9" x14ac:dyDescent="0.35">
      <c r="A25" t="str">
        <f>"022902"</f>
        <v>022902</v>
      </c>
      <c r="B25" t="s">
        <v>1564</v>
      </c>
      <c r="C25" s="46">
        <v>58</v>
      </c>
      <c r="D25" s="46">
        <v>0</v>
      </c>
      <c r="E25" s="46">
        <v>0</v>
      </c>
      <c r="F25" s="46">
        <v>0</v>
      </c>
      <c r="G25" s="46">
        <v>0</v>
      </c>
      <c r="H25" s="46">
        <v>1</v>
      </c>
      <c r="I25" s="46">
        <f t="shared" si="0"/>
        <v>48</v>
      </c>
    </row>
    <row r="26" spans="1:9" x14ac:dyDescent="0.35">
      <c r="A26" t="str">
        <f>"030101"</f>
        <v>030101</v>
      </c>
      <c r="B26" t="s">
        <v>67</v>
      </c>
      <c r="C26" s="46">
        <v>81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f t="shared" si="0"/>
        <v>68</v>
      </c>
    </row>
    <row r="27" spans="1:9" x14ac:dyDescent="0.35">
      <c r="A27" t="str">
        <f>"030200"</f>
        <v>030200</v>
      </c>
      <c r="B27" t="s">
        <v>1565</v>
      </c>
      <c r="C27" s="46">
        <v>450</v>
      </c>
      <c r="D27" s="46">
        <v>0</v>
      </c>
      <c r="E27" s="46">
        <v>0</v>
      </c>
      <c r="F27" s="46">
        <v>0</v>
      </c>
      <c r="G27" s="46">
        <v>14</v>
      </c>
      <c r="H27" s="46">
        <v>13</v>
      </c>
      <c r="I27" s="46">
        <f t="shared" si="0"/>
        <v>383</v>
      </c>
    </row>
    <row r="28" spans="1:9" x14ac:dyDescent="0.35">
      <c r="A28" t="str">
        <f>"030501"</f>
        <v>030501</v>
      </c>
      <c r="B28" t="s">
        <v>1566</v>
      </c>
      <c r="C28" s="46">
        <v>40</v>
      </c>
      <c r="D28" s="46">
        <v>0</v>
      </c>
      <c r="E28" s="46">
        <v>0</v>
      </c>
      <c r="F28" s="46">
        <v>0</v>
      </c>
      <c r="G28" s="46">
        <v>0</v>
      </c>
      <c r="H28" s="46">
        <v>2</v>
      </c>
      <c r="I28" s="46">
        <f t="shared" si="0"/>
        <v>32</v>
      </c>
    </row>
    <row r="29" spans="1:9" x14ac:dyDescent="0.35">
      <c r="A29" t="str">
        <f>"030601"</f>
        <v>030601</v>
      </c>
      <c r="B29" t="s">
        <v>74</v>
      </c>
      <c r="C29" s="46">
        <v>113</v>
      </c>
      <c r="D29" s="46">
        <v>0</v>
      </c>
      <c r="E29" s="46">
        <v>0</v>
      </c>
      <c r="F29" s="46">
        <v>0</v>
      </c>
      <c r="G29" s="46">
        <v>0</v>
      </c>
      <c r="H29" s="46">
        <v>1</v>
      </c>
      <c r="I29" s="46">
        <f t="shared" si="0"/>
        <v>95</v>
      </c>
    </row>
    <row r="30" spans="1:9" x14ac:dyDescent="0.35">
      <c r="A30" t="str">
        <f>"030701"</f>
        <v>030701</v>
      </c>
      <c r="B30" t="s">
        <v>76</v>
      </c>
      <c r="C30" s="46">
        <v>122</v>
      </c>
      <c r="D30" s="46">
        <v>0</v>
      </c>
      <c r="E30" s="46">
        <v>0</v>
      </c>
      <c r="F30" s="46">
        <v>0</v>
      </c>
      <c r="G30" s="46">
        <v>0</v>
      </c>
      <c r="H30" s="46">
        <v>6</v>
      </c>
      <c r="I30" s="46">
        <f t="shared" si="0"/>
        <v>98</v>
      </c>
    </row>
    <row r="31" spans="1:9" x14ac:dyDescent="0.35">
      <c r="A31" t="str">
        <f>"031101"</f>
        <v>031101</v>
      </c>
      <c r="B31" t="s">
        <v>1567</v>
      </c>
      <c r="C31" s="46">
        <v>238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f t="shared" si="0"/>
        <v>202</v>
      </c>
    </row>
    <row r="32" spans="1:9" x14ac:dyDescent="0.35">
      <c r="A32" t="str">
        <f>"031301"</f>
        <v>031301</v>
      </c>
      <c r="B32" t="s">
        <v>1568</v>
      </c>
      <c r="C32" s="46">
        <v>54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f t="shared" si="0"/>
        <v>45</v>
      </c>
    </row>
    <row r="33" spans="1:9" x14ac:dyDescent="0.35">
      <c r="A33" t="str">
        <f>"031401"</f>
        <v>031401</v>
      </c>
      <c r="B33" t="s">
        <v>82</v>
      </c>
      <c r="C33" s="46">
        <v>92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f t="shared" si="0"/>
        <v>78</v>
      </c>
    </row>
    <row r="34" spans="1:9" x14ac:dyDescent="0.35">
      <c r="A34" t="str">
        <f>"031501"</f>
        <v>031501</v>
      </c>
      <c r="B34" t="s">
        <v>84</v>
      </c>
      <c r="C34" s="46">
        <v>297</v>
      </c>
      <c r="D34" s="46">
        <v>0</v>
      </c>
      <c r="E34" s="46">
        <v>0</v>
      </c>
      <c r="F34" s="46">
        <v>0</v>
      </c>
      <c r="G34" s="46">
        <v>17</v>
      </c>
      <c r="H34" s="46">
        <v>6</v>
      </c>
      <c r="I34" s="46">
        <f t="shared" si="0"/>
        <v>261</v>
      </c>
    </row>
    <row r="35" spans="1:9" x14ac:dyDescent="0.35">
      <c r="A35" t="str">
        <f>"031502"</f>
        <v>031502</v>
      </c>
      <c r="B35" t="s">
        <v>1569</v>
      </c>
      <c r="C35" s="46">
        <v>170</v>
      </c>
      <c r="D35" s="46">
        <v>0</v>
      </c>
      <c r="E35" s="46">
        <v>0</v>
      </c>
      <c r="F35" s="46">
        <v>0</v>
      </c>
      <c r="G35" s="46">
        <v>28</v>
      </c>
      <c r="H35" s="46">
        <v>0</v>
      </c>
      <c r="I35" s="46">
        <f t="shared" si="0"/>
        <v>168</v>
      </c>
    </row>
    <row r="36" spans="1:9" x14ac:dyDescent="0.35">
      <c r="A36" t="str">
        <f>"031601"</f>
        <v>031601</v>
      </c>
      <c r="B36" t="s">
        <v>1570</v>
      </c>
      <c r="C36" s="46">
        <v>246</v>
      </c>
      <c r="D36" s="46">
        <v>0</v>
      </c>
      <c r="E36" s="46">
        <v>0</v>
      </c>
      <c r="F36" s="46">
        <v>0</v>
      </c>
      <c r="G36" s="46">
        <v>24</v>
      </c>
      <c r="H36" s="46">
        <v>3</v>
      </c>
      <c r="I36" s="46">
        <f t="shared" si="0"/>
        <v>226</v>
      </c>
    </row>
    <row r="37" spans="1:9" x14ac:dyDescent="0.35">
      <c r="A37" t="str">
        <f>"031701"</f>
        <v>031701</v>
      </c>
      <c r="B37" t="s">
        <v>1571</v>
      </c>
      <c r="C37" s="46">
        <v>129</v>
      </c>
      <c r="D37" s="46">
        <v>0</v>
      </c>
      <c r="E37" s="46">
        <v>0</v>
      </c>
      <c r="F37" s="46">
        <v>0</v>
      </c>
      <c r="G37" s="46">
        <v>0</v>
      </c>
      <c r="H37" s="46">
        <v>1</v>
      </c>
      <c r="I37" s="46">
        <f t="shared" si="0"/>
        <v>108</v>
      </c>
    </row>
    <row r="38" spans="1:9" x14ac:dyDescent="0.35">
      <c r="A38" t="str">
        <f>"040204"</f>
        <v>040204</v>
      </c>
      <c r="B38" t="s">
        <v>1572</v>
      </c>
      <c r="C38" s="46">
        <v>17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f t="shared" si="0"/>
        <v>14</v>
      </c>
    </row>
    <row r="39" spans="1:9" x14ac:dyDescent="0.35">
      <c r="A39" t="str">
        <f>"040302"</f>
        <v>040302</v>
      </c>
      <c r="B39" t="s">
        <v>94</v>
      </c>
      <c r="C39" s="46">
        <v>60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f t="shared" si="0"/>
        <v>51</v>
      </c>
    </row>
    <row r="40" spans="1:9" x14ac:dyDescent="0.35">
      <c r="A40" t="str">
        <f>"040901"</f>
        <v>040901</v>
      </c>
      <c r="B40" t="s">
        <v>96</v>
      </c>
      <c r="C40" s="46">
        <v>31</v>
      </c>
      <c r="D40" s="46">
        <v>0</v>
      </c>
      <c r="E40" s="46">
        <v>0</v>
      </c>
      <c r="F40" s="46">
        <v>0</v>
      </c>
      <c r="G40" s="46">
        <v>0</v>
      </c>
      <c r="H40" s="46">
        <v>1</v>
      </c>
      <c r="I40" s="46">
        <f t="shared" si="0"/>
        <v>25</v>
      </c>
    </row>
    <row r="41" spans="1:9" x14ac:dyDescent="0.35">
      <c r="A41" t="str">
        <f>"041101"</f>
        <v>041101</v>
      </c>
      <c r="B41" t="s">
        <v>98</v>
      </c>
      <c r="C41" s="46">
        <v>42</v>
      </c>
      <c r="D41" s="46">
        <v>0</v>
      </c>
      <c r="E41" s="46">
        <v>0</v>
      </c>
      <c r="F41" s="46">
        <v>0</v>
      </c>
      <c r="G41" s="46">
        <v>0</v>
      </c>
      <c r="H41" s="46">
        <v>4</v>
      </c>
      <c r="I41" s="46">
        <f t="shared" si="0"/>
        <v>32</v>
      </c>
    </row>
    <row r="42" spans="1:9" x14ac:dyDescent="0.35">
      <c r="A42" t="str">
        <f>"041401"</f>
        <v>041401</v>
      </c>
      <c r="B42" t="s">
        <v>1573</v>
      </c>
      <c r="C42" s="46">
        <v>34</v>
      </c>
      <c r="D42" s="46">
        <v>0</v>
      </c>
      <c r="E42" s="46">
        <v>0</v>
      </c>
      <c r="F42" s="46">
        <v>0</v>
      </c>
      <c r="G42" s="46">
        <v>0</v>
      </c>
      <c r="H42" s="46">
        <v>1</v>
      </c>
      <c r="I42" s="46">
        <f t="shared" si="0"/>
        <v>28</v>
      </c>
    </row>
    <row r="43" spans="1:9" x14ac:dyDescent="0.35">
      <c r="A43" t="str">
        <f>"042302"</f>
        <v>042302</v>
      </c>
      <c r="B43" t="s">
        <v>102</v>
      </c>
      <c r="C43" s="46">
        <v>44</v>
      </c>
      <c r="D43" s="46">
        <v>0</v>
      </c>
      <c r="E43" s="46">
        <v>0</v>
      </c>
      <c r="F43" s="46">
        <v>0</v>
      </c>
      <c r="G43" s="46">
        <v>0</v>
      </c>
      <c r="H43" s="46">
        <v>5</v>
      </c>
      <c r="I43" s="46">
        <f t="shared" si="0"/>
        <v>33</v>
      </c>
    </row>
    <row r="44" spans="1:9" x14ac:dyDescent="0.35">
      <c r="A44" t="str">
        <f>"042400"</f>
        <v>042400</v>
      </c>
      <c r="B44" t="s">
        <v>1574</v>
      </c>
      <c r="C44" s="46">
        <v>153</v>
      </c>
      <c r="D44" s="46">
        <v>0</v>
      </c>
      <c r="E44" s="46">
        <v>0</v>
      </c>
      <c r="F44" s="46">
        <v>0</v>
      </c>
      <c r="G44" s="46">
        <v>11</v>
      </c>
      <c r="H44" s="46">
        <v>12</v>
      </c>
      <c r="I44" s="46">
        <f t="shared" si="0"/>
        <v>129</v>
      </c>
    </row>
    <row r="45" spans="1:9" x14ac:dyDescent="0.35">
      <c r="A45" t="str">
        <f>"042801"</f>
        <v>042801</v>
      </c>
      <c r="B45" t="s">
        <v>1575</v>
      </c>
      <c r="C45" s="46">
        <v>80</v>
      </c>
      <c r="D45" s="46">
        <v>0</v>
      </c>
      <c r="E45" s="46">
        <v>0</v>
      </c>
      <c r="F45" s="46">
        <v>0</v>
      </c>
      <c r="G45" s="46">
        <v>0</v>
      </c>
      <c r="H45" s="46">
        <v>5</v>
      </c>
      <c r="I45" s="46">
        <f t="shared" si="0"/>
        <v>63</v>
      </c>
    </row>
    <row r="46" spans="1:9" x14ac:dyDescent="0.35">
      <c r="A46" t="str">
        <f>"042901"</f>
        <v>042901</v>
      </c>
      <c r="B46" t="s">
        <v>1576</v>
      </c>
      <c r="C46" s="46">
        <v>61</v>
      </c>
      <c r="D46" s="46">
        <v>0</v>
      </c>
      <c r="E46" s="46">
        <v>0</v>
      </c>
      <c r="F46" s="46">
        <v>0</v>
      </c>
      <c r="G46" s="46">
        <v>0</v>
      </c>
      <c r="H46" s="46">
        <v>3</v>
      </c>
      <c r="I46" s="46">
        <f t="shared" si="0"/>
        <v>49</v>
      </c>
    </row>
    <row r="47" spans="1:9" x14ac:dyDescent="0.35">
      <c r="A47" t="str">
        <f>"043001"</f>
        <v>043001</v>
      </c>
      <c r="B47" t="s">
        <v>1577</v>
      </c>
      <c r="C47" s="46">
        <v>54</v>
      </c>
      <c r="D47" s="46">
        <v>0</v>
      </c>
      <c r="E47" s="46">
        <v>0</v>
      </c>
      <c r="F47" s="46">
        <v>0</v>
      </c>
      <c r="G47" s="46">
        <v>0</v>
      </c>
      <c r="H47" s="46">
        <v>4</v>
      </c>
      <c r="I47" s="46">
        <f t="shared" si="0"/>
        <v>42</v>
      </c>
    </row>
    <row r="48" spans="1:9" x14ac:dyDescent="0.35">
      <c r="A48" t="str">
        <f>"043200"</f>
        <v>043200</v>
      </c>
      <c r="B48" t="s">
        <v>1578</v>
      </c>
      <c r="C48" s="46">
        <v>87</v>
      </c>
      <c r="D48" s="46">
        <v>0</v>
      </c>
      <c r="E48" s="46">
        <v>0</v>
      </c>
      <c r="F48" s="46">
        <v>0</v>
      </c>
      <c r="G48" s="46">
        <v>0</v>
      </c>
      <c r="H48" s="46">
        <v>12</v>
      </c>
      <c r="I48" s="46">
        <f t="shared" si="0"/>
        <v>63</v>
      </c>
    </row>
    <row r="49" spans="1:9" x14ac:dyDescent="0.35">
      <c r="A49" t="str">
        <f>"043501"</f>
        <v>043501</v>
      </c>
      <c r="B49" t="s">
        <v>1579</v>
      </c>
      <c r="C49" s="46">
        <v>150</v>
      </c>
      <c r="D49" s="46">
        <v>0</v>
      </c>
      <c r="E49" s="46">
        <v>0</v>
      </c>
      <c r="F49" s="46">
        <v>0</v>
      </c>
      <c r="G49" s="46">
        <v>0</v>
      </c>
      <c r="H49" s="46">
        <v>16</v>
      </c>
      <c r="I49" s="46">
        <f t="shared" si="0"/>
        <v>113</v>
      </c>
    </row>
    <row r="50" spans="1:9" x14ac:dyDescent="0.35">
      <c r="A50" t="str">
        <f>"050100"</f>
        <v>050100</v>
      </c>
      <c r="B50" t="s">
        <v>1514</v>
      </c>
      <c r="C50" s="46">
        <v>276</v>
      </c>
      <c r="D50" s="46">
        <v>0</v>
      </c>
      <c r="E50" s="46">
        <v>0</v>
      </c>
      <c r="F50" s="46">
        <v>0</v>
      </c>
      <c r="G50" s="46">
        <v>31</v>
      </c>
      <c r="H50" s="46">
        <v>0</v>
      </c>
      <c r="I50" s="46">
        <f t="shared" si="0"/>
        <v>260</v>
      </c>
    </row>
    <row r="51" spans="1:9" x14ac:dyDescent="0.35">
      <c r="A51" t="str">
        <f>"050301"</f>
        <v>050301</v>
      </c>
      <c r="B51" t="s">
        <v>1580</v>
      </c>
      <c r="C51" s="46">
        <v>48</v>
      </c>
      <c r="D51" s="46">
        <v>0</v>
      </c>
      <c r="E51" s="46">
        <v>0</v>
      </c>
      <c r="F51" s="46">
        <v>0</v>
      </c>
      <c r="G51" s="46">
        <v>0</v>
      </c>
      <c r="H51" s="46">
        <v>0</v>
      </c>
      <c r="I51" s="46">
        <f t="shared" si="0"/>
        <v>40</v>
      </c>
    </row>
    <row r="52" spans="1:9" x14ac:dyDescent="0.35">
      <c r="A52" t="str">
        <f>"050401"</f>
        <v>050401</v>
      </c>
      <c r="B52" t="s">
        <v>1581</v>
      </c>
      <c r="C52" s="46">
        <v>64</v>
      </c>
      <c r="D52" s="46">
        <v>0</v>
      </c>
      <c r="E52" s="46">
        <v>0</v>
      </c>
      <c r="F52" s="46">
        <v>0</v>
      </c>
      <c r="G52" s="46">
        <v>0</v>
      </c>
      <c r="H52" s="46">
        <v>5</v>
      </c>
      <c r="I52" s="46">
        <f t="shared" si="0"/>
        <v>50</v>
      </c>
    </row>
    <row r="53" spans="1:9" x14ac:dyDescent="0.35">
      <c r="A53" t="str">
        <f>"050701"</f>
        <v>050701</v>
      </c>
      <c r="B53" t="s">
        <v>123</v>
      </c>
      <c r="C53" s="46">
        <v>53</v>
      </c>
      <c r="D53" s="46">
        <v>0</v>
      </c>
      <c r="E53" s="46">
        <v>0</v>
      </c>
      <c r="F53" s="46">
        <v>0</v>
      </c>
      <c r="G53" s="46">
        <v>1</v>
      </c>
      <c r="H53" s="46">
        <v>0</v>
      </c>
      <c r="I53" s="46">
        <f t="shared" si="0"/>
        <v>45</v>
      </c>
    </row>
    <row r="54" spans="1:9" x14ac:dyDescent="0.35">
      <c r="A54" t="str">
        <f>"051101"</f>
        <v>051101</v>
      </c>
      <c r="B54" t="s">
        <v>1537</v>
      </c>
      <c r="C54" s="46">
        <v>60</v>
      </c>
      <c r="D54" s="46">
        <v>0</v>
      </c>
      <c r="E54" s="46">
        <v>0</v>
      </c>
      <c r="F54" s="46">
        <v>0</v>
      </c>
      <c r="G54" s="46">
        <v>0</v>
      </c>
      <c r="H54" s="46">
        <v>1</v>
      </c>
      <c r="I54" s="46">
        <f t="shared" si="0"/>
        <v>50</v>
      </c>
    </row>
    <row r="55" spans="1:9" x14ac:dyDescent="0.35">
      <c r="A55" t="str">
        <f>"051301"</f>
        <v>051301</v>
      </c>
      <c r="B55" t="s">
        <v>1582</v>
      </c>
      <c r="C55" s="46">
        <v>56</v>
      </c>
      <c r="D55" s="46">
        <v>0</v>
      </c>
      <c r="E55" s="46">
        <v>0</v>
      </c>
      <c r="F55" s="46">
        <v>0</v>
      </c>
      <c r="G55" s="46">
        <v>0</v>
      </c>
      <c r="H55" s="46">
        <v>1</v>
      </c>
      <c r="I55" s="46">
        <f t="shared" si="0"/>
        <v>46</v>
      </c>
    </row>
    <row r="56" spans="1:9" x14ac:dyDescent="0.35">
      <c r="A56" t="str">
        <f>"051901"</f>
        <v>051901</v>
      </c>
      <c r="B56" t="s">
        <v>129</v>
      </c>
      <c r="C56" s="46">
        <v>46</v>
      </c>
      <c r="D56" s="46">
        <v>0</v>
      </c>
      <c r="E56" s="46">
        <v>0</v>
      </c>
      <c r="F56" s="46">
        <v>0</v>
      </c>
      <c r="G56" s="46">
        <v>3</v>
      </c>
      <c r="H56" s="46">
        <v>0</v>
      </c>
      <c r="I56" s="46">
        <f t="shared" si="0"/>
        <v>41</v>
      </c>
    </row>
    <row r="57" spans="1:9" x14ac:dyDescent="0.35">
      <c r="A57" t="str">
        <f>"060201"</f>
        <v>060201</v>
      </c>
      <c r="B57" t="s">
        <v>1583</v>
      </c>
      <c r="C57" s="46">
        <v>92</v>
      </c>
      <c r="D57" s="46">
        <v>0</v>
      </c>
      <c r="E57" s="46">
        <v>0</v>
      </c>
      <c r="F57" s="46">
        <v>0</v>
      </c>
      <c r="G57" s="46">
        <v>0</v>
      </c>
      <c r="H57" s="46">
        <v>7</v>
      </c>
      <c r="I57" s="46">
        <f t="shared" si="0"/>
        <v>72</v>
      </c>
    </row>
    <row r="58" spans="1:9" x14ac:dyDescent="0.35">
      <c r="A58" t="str">
        <f>"060301"</f>
        <v>060301</v>
      </c>
      <c r="B58" t="s">
        <v>1584</v>
      </c>
      <c r="C58" s="46">
        <v>52</v>
      </c>
      <c r="D58" s="46">
        <v>0</v>
      </c>
      <c r="E58" s="46">
        <v>0</v>
      </c>
      <c r="F58" s="46">
        <v>0</v>
      </c>
      <c r="G58" s="46">
        <v>0</v>
      </c>
      <c r="H58" s="46">
        <v>3</v>
      </c>
      <c r="I58" s="46">
        <f t="shared" si="0"/>
        <v>41</v>
      </c>
    </row>
    <row r="59" spans="1:9" x14ac:dyDescent="0.35">
      <c r="A59" t="str">
        <f>"060401"</f>
        <v>060401</v>
      </c>
      <c r="B59" t="s">
        <v>135</v>
      </c>
      <c r="C59" s="46">
        <v>63</v>
      </c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f t="shared" si="0"/>
        <v>53</v>
      </c>
    </row>
    <row r="60" spans="1:9" x14ac:dyDescent="0.35">
      <c r="A60" t="str">
        <f>"060503"</f>
        <v>060503</v>
      </c>
      <c r="B60" t="s">
        <v>1585</v>
      </c>
      <c r="C60" s="46">
        <v>42</v>
      </c>
      <c r="D60" s="46">
        <v>0</v>
      </c>
      <c r="E60" s="46">
        <v>0</v>
      </c>
      <c r="F60" s="46">
        <v>0</v>
      </c>
      <c r="G60" s="46">
        <v>0</v>
      </c>
      <c r="H60" s="46">
        <v>0</v>
      </c>
      <c r="I60" s="46">
        <f t="shared" si="0"/>
        <v>35</v>
      </c>
    </row>
    <row r="61" spans="1:9" x14ac:dyDescent="0.35">
      <c r="A61" t="str">
        <f>"060601"</f>
        <v>060601</v>
      </c>
      <c r="B61" t="s">
        <v>1586</v>
      </c>
      <c r="C61" s="46">
        <v>43</v>
      </c>
      <c r="D61" s="46">
        <v>0</v>
      </c>
      <c r="E61" s="46">
        <v>0</v>
      </c>
      <c r="F61" s="46">
        <v>0</v>
      </c>
      <c r="G61" s="46">
        <v>0</v>
      </c>
      <c r="H61" s="46">
        <v>2</v>
      </c>
      <c r="I61" s="46">
        <f t="shared" si="0"/>
        <v>34</v>
      </c>
    </row>
    <row r="62" spans="1:9" x14ac:dyDescent="0.35">
      <c r="A62" t="str">
        <f>"060701"</f>
        <v>060701</v>
      </c>
      <c r="B62" t="s">
        <v>1587</v>
      </c>
      <c r="C62" s="46">
        <v>11</v>
      </c>
      <c r="D62" s="46">
        <v>0</v>
      </c>
      <c r="E62" s="46">
        <v>0</v>
      </c>
      <c r="F62" s="46">
        <v>0</v>
      </c>
      <c r="G62" s="46">
        <v>0</v>
      </c>
      <c r="H62" s="46">
        <v>0</v>
      </c>
      <c r="I62" s="46">
        <f t="shared" si="0"/>
        <v>9</v>
      </c>
    </row>
    <row r="63" spans="1:9" x14ac:dyDescent="0.35">
      <c r="A63" t="str">
        <f>"060800"</f>
        <v>060800</v>
      </c>
      <c r="B63" t="s">
        <v>1588</v>
      </c>
      <c r="C63" s="46">
        <v>125</v>
      </c>
      <c r="D63" s="46">
        <v>0</v>
      </c>
      <c r="E63" s="46">
        <v>0</v>
      </c>
      <c r="F63" s="46">
        <v>0</v>
      </c>
      <c r="G63" s="46">
        <v>32</v>
      </c>
      <c r="H63" s="46">
        <v>19</v>
      </c>
      <c r="I63" s="46">
        <f t="shared" si="0"/>
        <v>117</v>
      </c>
    </row>
    <row r="64" spans="1:9" x14ac:dyDescent="0.35">
      <c r="A64" t="str">
        <f>"061001"</f>
        <v>061001</v>
      </c>
      <c r="B64" t="s">
        <v>1589</v>
      </c>
      <c r="C64" s="46">
        <v>37</v>
      </c>
      <c r="D64" s="46">
        <v>0</v>
      </c>
      <c r="E64" s="46">
        <v>0</v>
      </c>
      <c r="F64" s="46">
        <v>0</v>
      </c>
      <c r="G64" s="46">
        <v>0</v>
      </c>
      <c r="H64" s="46">
        <v>0</v>
      </c>
      <c r="I64" s="46">
        <f t="shared" si="0"/>
        <v>31</v>
      </c>
    </row>
    <row r="65" spans="1:9" x14ac:dyDescent="0.35">
      <c r="A65" t="str">
        <f>"061101"</f>
        <v>061101</v>
      </c>
      <c r="B65" t="s">
        <v>1590</v>
      </c>
      <c r="C65" s="46">
        <v>75</v>
      </c>
      <c r="D65" s="46">
        <v>0</v>
      </c>
      <c r="E65" s="46">
        <v>0</v>
      </c>
      <c r="F65" s="46">
        <v>0</v>
      </c>
      <c r="G65" s="46">
        <v>0</v>
      </c>
      <c r="H65" s="46">
        <v>0</v>
      </c>
      <c r="I65" s="46">
        <f t="shared" si="0"/>
        <v>63</v>
      </c>
    </row>
    <row r="66" spans="1:9" x14ac:dyDescent="0.35">
      <c r="A66" t="str">
        <f>"061501"</f>
        <v>061501</v>
      </c>
      <c r="B66" t="s">
        <v>1591</v>
      </c>
      <c r="C66" s="46">
        <v>64</v>
      </c>
      <c r="D66" s="46">
        <v>0</v>
      </c>
      <c r="E66" s="46">
        <v>0</v>
      </c>
      <c r="F66" s="46">
        <v>0</v>
      </c>
      <c r="G66" s="46">
        <v>0</v>
      </c>
      <c r="H66" s="46">
        <v>7</v>
      </c>
      <c r="I66" s="46">
        <f t="shared" ref="I66:I129" si="1">MAX(TRUNC((C66+D66+E66+F66+G66-H66)*0.85,0),0)</f>
        <v>48</v>
      </c>
    </row>
    <row r="67" spans="1:9" x14ac:dyDescent="0.35">
      <c r="A67" t="str">
        <f>"061503"</f>
        <v>061503</v>
      </c>
      <c r="B67" t="s">
        <v>1592</v>
      </c>
      <c r="C67" s="46">
        <v>35</v>
      </c>
      <c r="D67" s="46">
        <v>0</v>
      </c>
      <c r="E67" s="46">
        <v>0</v>
      </c>
      <c r="F67" s="46">
        <v>0</v>
      </c>
      <c r="G67" s="46">
        <v>0</v>
      </c>
      <c r="H67" s="46">
        <v>4</v>
      </c>
      <c r="I67" s="46">
        <f t="shared" si="1"/>
        <v>26</v>
      </c>
    </row>
    <row r="68" spans="1:9" x14ac:dyDescent="0.35">
      <c r="A68" t="str">
        <f>"061601"</f>
        <v>061601</v>
      </c>
      <c r="B68" t="s">
        <v>1593</v>
      </c>
      <c r="C68" s="46">
        <v>26</v>
      </c>
      <c r="D68" s="46">
        <v>0</v>
      </c>
      <c r="E68" s="46">
        <v>0</v>
      </c>
      <c r="F68" s="46">
        <v>0</v>
      </c>
      <c r="G68" s="46">
        <v>0</v>
      </c>
      <c r="H68" s="46">
        <v>0</v>
      </c>
      <c r="I68" s="46">
        <f t="shared" si="1"/>
        <v>22</v>
      </c>
    </row>
    <row r="69" spans="1:9" x14ac:dyDescent="0.35">
      <c r="A69" t="str">
        <f>"061700"</f>
        <v>061700</v>
      </c>
      <c r="B69" t="s">
        <v>1594</v>
      </c>
      <c r="C69" s="46">
        <v>330</v>
      </c>
      <c r="D69" s="46">
        <v>0</v>
      </c>
      <c r="E69" s="46">
        <v>0</v>
      </c>
      <c r="F69" s="46">
        <v>0</v>
      </c>
      <c r="G69" s="46">
        <v>13</v>
      </c>
      <c r="H69" s="46">
        <v>20</v>
      </c>
      <c r="I69" s="46">
        <f t="shared" si="1"/>
        <v>274</v>
      </c>
    </row>
    <row r="70" spans="1:9" x14ac:dyDescent="0.35">
      <c r="A70" t="str">
        <f>"062201"</f>
        <v>062201</v>
      </c>
      <c r="B70" t="s">
        <v>1595</v>
      </c>
      <c r="C70" s="46">
        <v>104</v>
      </c>
      <c r="D70" s="46">
        <v>0</v>
      </c>
      <c r="E70" s="46">
        <v>0</v>
      </c>
      <c r="F70" s="46">
        <v>0</v>
      </c>
      <c r="G70" s="46">
        <v>0</v>
      </c>
      <c r="H70" s="46">
        <v>13</v>
      </c>
      <c r="I70" s="46">
        <f t="shared" si="1"/>
        <v>77</v>
      </c>
    </row>
    <row r="71" spans="1:9" x14ac:dyDescent="0.35">
      <c r="A71" t="str">
        <f>"062301"</f>
        <v>062301</v>
      </c>
      <c r="B71" t="s">
        <v>1596</v>
      </c>
      <c r="C71" s="46">
        <v>26</v>
      </c>
      <c r="D71" s="46">
        <v>0</v>
      </c>
      <c r="E71" s="46">
        <v>0</v>
      </c>
      <c r="F71" s="46">
        <v>0</v>
      </c>
      <c r="G71" s="46">
        <v>0</v>
      </c>
      <c r="H71" s="46">
        <v>0</v>
      </c>
      <c r="I71" s="46">
        <f t="shared" si="1"/>
        <v>22</v>
      </c>
    </row>
    <row r="72" spans="1:9" x14ac:dyDescent="0.35">
      <c r="A72" t="str">
        <f>"062401"</f>
        <v>062401</v>
      </c>
      <c r="B72" t="s">
        <v>1597</v>
      </c>
      <c r="C72" s="46">
        <v>21</v>
      </c>
      <c r="D72" s="46">
        <v>0</v>
      </c>
      <c r="E72" s="46">
        <v>0</v>
      </c>
      <c r="F72" s="46">
        <v>0</v>
      </c>
      <c r="G72" s="46">
        <v>0</v>
      </c>
      <c r="H72" s="46">
        <v>0</v>
      </c>
      <c r="I72" s="46">
        <f t="shared" si="1"/>
        <v>17</v>
      </c>
    </row>
    <row r="73" spans="1:9" x14ac:dyDescent="0.35">
      <c r="A73" t="str">
        <f>"062601"</f>
        <v>062601</v>
      </c>
      <c r="B73" t="s">
        <v>1598</v>
      </c>
      <c r="C73" s="46">
        <v>29</v>
      </c>
      <c r="D73" s="46">
        <v>0</v>
      </c>
      <c r="E73" s="46">
        <v>0</v>
      </c>
      <c r="F73" s="46">
        <v>0</v>
      </c>
      <c r="G73" s="46">
        <v>0</v>
      </c>
      <c r="H73" s="46">
        <v>0</v>
      </c>
      <c r="I73" s="46">
        <f t="shared" si="1"/>
        <v>24</v>
      </c>
    </row>
    <row r="74" spans="1:9" x14ac:dyDescent="0.35">
      <c r="A74" t="str">
        <f>"062901"</f>
        <v>062901</v>
      </c>
      <c r="B74" t="s">
        <v>1599</v>
      </c>
      <c r="C74" s="46">
        <v>34</v>
      </c>
      <c r="D74" s="46">
        <v>0</v>
      </c>
      <c r="E74" s="46">
        <v>0</v>
      </c>
      <c r="F74" s="46">
        <v>0</v>
      </c>
      <c r="G74" s="46">
        <v>0</v>
      </c>
      <c r="H74" s="46">
        <v>0</v>
      </c>
      <c r="I74" s="46">
        <f t="shared" si="1"/>
        <v>28</v>
      </c>
    </row>
    <row r="75" spans="1:9" x14ac:dyDescent="0.35">
      <c r="A75" t="str">
        <f>"070600"</f>
        <v>070600</v>
      </c>
      <c r="B75" t="s">
        <v>1522</v>
      </c>
      <c r="C75" s="46">
        <v>359</v>
      </c>
      <c r="D75" s="46">
        <v>0</v>
      </c>
      <c r="E75" s="46">
        <v>56</v>
      </c>
      <c r="F75" s="46">
        <v>0</v>
      </c>
      <c r="G75" s="46">
        <v>0</v>
      </c>
      <c r="H75" s="46">
        <v>10</v>
      </c>
      <c r="I75" s="46">
        <f t="shared" si="1"/>
        <v>344</v>
      </c>
    </row>
    <row r="76" spans="1:9" x14ac:dyDescent="0.35">
      <c r="A76" t="str">
        <f>"070901"</f>
        <v>070901</v>
      </c>
      <c r="B76" t="s">
        <v>1529</v>
      </c>
      <c r="C76" s="46">
        <v>272</v>
      </c>
      <c r="D76" s="46">
        <v>0</v>
      </c>
      <c r="E76" s="46">
        <v>2</v>
      </c>
      <c r="F76" s="46">
        <v>0</v>
      </c>
      <c r="G76" s="46">
        <v>33</v>
      </c>
      <c r="H76" s="46">
        <v>17</v>
      </c>
      <c r="I76" s="46">
        <f t="shared" si="1"/>
        <v>246</v>
      </c>
    </row>
    <row r="77" spans="1:9" x14ac:dyDescent="0.35">
      <c r="A77" t="str">
        <f>"070902"</f>
        <v>070902</v>
      </c>
      <c r="B77" t="s">
        <v>171</v>
      </c>
      <c r="C77" s="46">
        <v>76</v>
      </c>
      <c r="D77" s="46">
        <v>0</v>
      </c>
      <c r="E77" s="46">
        <v>0</v>
      </c>
      <c r="F77" s="46">
        <v>0</v>
      </c>
      <c r="G77" s="46">
        <v>0</v>
      </c>
      <c r="H77" s="46">
        <v>3</v>
      </c>
      <c r="I77" s="46">
        <f t="shared" si="1"/>
        <v>62</v>
      </c>
    </row>
    <row r="78" spans="1:9" x14ac:dyDescent="0.35">
      <c r="A78" t="str">
        <f>"080101"</f>
        <v>080101</v>
      </c>
      <c r="B78" t="s">
        <v>1600</v>
      </c>
      <c r="C78" s="46">
        <v>33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f t="shared" si="1"/>
        <v>28</v>
      </c>
    </row>
    <row r="79" spans="1:9" x14ac:dyDescent="0.35">
      <c r="A79" t="str">
        <f>"080201"</f>
        <v>080201</v>
      </c>
      <c r="B79" t="s">
        <v>1601</v>
      </c>
      <c r="C79" s="46">
        <v>53</v>
      </c>
      <c r="D79" s="46">
        <v>0</v>
      </c>
      <c r="E79" s="46">
        <v>0</v>
      </c>
      <c r="F79" s="46">
        <v>0</v>
      </c>
      <c r="G79" s="46">
        <v>0</v>
      </c>
      <c r="H79" s="46">
        <v>1</v>
      </c>
      <c r="I79" s="46">
        <f t="shared" si="1"/>
        <v>44</v>
      </c>
    </row>
    <row r="80" spans="1:9" x14ac:dyDescent="0.35">
      <c r="A80" t="str">
        <f>"080601"</f>
        <v>080601</v>
      </c>
      <c r="B80" t="s">
        <v>1602</v>
      </c>
      <c r="C80" s="46">
        <v>66</v>
      </c>
      <c r="D80" s="46">
        <v>0</v>
      </c>
      <c r="E80" s="46">
        <v>0</v>
      </c>
      <c r="F80" s="46">
        <v>0</v>
      </c>
      <c r="G80" s="46">
        <v>0</v>
      </c>
      <c r="H80" s="46">
        <v>0</v>
      </c>
      <c r="I80" s="46">
        <f t="shared" si="1"/>
        <v>56</v>
      </c>
    </row>
    <row r="81" spans="1:9" x14ac:dyDescent="0.35">
      <c r="A81" t="str">
        <f>"081003"</f>
        <v>081003</v>
      </c>
      <c r="B81" t="s">
        <v>1603</v>
      </c>
      <c r="C81" s="46">
        <v>65</v>
      </c>
      <c r="D81" s="46">
        <v>0</v>
      </c>
      <c r="E81" s="46">
        <v>0</v>
      </c>
      <c r="F81" s="46">
        <v>0</v>
      </c>
      <c r="G81" s="46">
        <v>0</v>
      </c>
      <c r="H81" s="46">
        <v>0</v>
      </c>
      <c r="I81" s="46">
        <f t="shared" si="1"/>
        <v>55</v>
      </c>
    </row>
    <row r="82" spans="1:9" x14ac:dyDescent="0.35">
      <c r="A82" t="str">
        <f>"081200"</f>
        <v>081200</v>
      </c>
      <c r="B82" t="s">
        <v>1604</v>
      </c>
      <c r="C82" s="46">
        <v>107</v>
      </c>
      <c r="D82" s="46">
        <v>0</v>
      </c>
      <c r="E82" s="46">
        <v>0</v>
      </c>
      <c r="F82" s="46">
        <v>0</v>
      </c>
      <c r="G82" s="46">
        <v>14</v>
      </c>
      <c r="H82" s="46">
        <v>0</v>
      </c>
      <c r="I82" s="46">
        <f t="shared" si="1"/>
        <v>102</v>
      </c>
    </row>
    <row r="83" spans="1:9" x14ac:dyDescent="0.35">
      <c r="A83" t="str">
        <f>"081401"</f>
        <v>081401</v>
      </c>
      <c r="B83" t="s">
        <v>1605</v>
      </c>
      <c r="C83" s="46">
        <v>19</v>
      </c>
      <c r="D83" s="46">
        <v>0</v>
      </c>
      <c r="E83" s="46">
        <v>0</v>
      </c>
      <c r="F83" s="46">
        <v>0</v>
      </c>
      <c r="G83" s="46">
        <v>0</v>
      </c>
      <c r="H83" s="46">
        <v>1</v>
      </c>
      <c r="I83" s="46">
        <f t="shared" si="1"/>
        <v>15</v>
      </c>
    </row>
    <row r="84" spans="1:9" x14ac:dyDescent="0.35">
      <c r="A84" t="str">
        <f>"081501"</f>
        <v>081501</v>
      </c>
      <c r="B84" t="s">
        <v>1606</v>
      </c>
      <c r="C84" s="46">
        <v>69</v>
      </c>
      <c r="D84" s="46">
        <v>0</v>
      </c>
      <c r="E84" s="46">
        <v>0</v>
      </c>
      <c r="F84" s="46">
        <v>0</v>
      </c>
      <c r="G84" s="46">
        <v>0</v>
      </c>
      <c r="H84" s="46">
        <v>1</v>
      </c>
      <c r="I84" s="46">
        <f t="shared" si="1"/>
        <v>57</v>
      </c>
    </row>
    <row r="85" spans="1:9" x14ac:dyDescent="0.35">
      <c r="A85" t="str">
        <f>"082001"</f>
        <v>082001</v>
      </c>
      <c r="B85" t="s">
        <v>1607</v>
      </c>
      <c r="C85" s="46">
        <v>95</v>
      </c>
      <c r="D85" s="46">
        <v>0</v>
      </c>
      <c r="E85" s="46">
        <v>0</v>
      </c>
      <c r="F85" s="46">
        <v>0</v>
      </c>
      <c r="G85" s="46">
        <v>0</v>
      </c>
      <c r="H85" s="46">
        <v>0</v>
      </c>
      <c r="I85" s="46">
        <f t="shared" si="1"/>
        <v>80</v>
      </c>
    </row>
    <row r="86" spans="1:9" x14ac:dyDescent="0.35">
      <c r="A86" t="str">
        <f>"090201"</f>
        <v>090201</v>
      </c>
      <c r="B86" t="s">
        <v>189</v>
      </c>
      <c r="C86" s="46">
        <v>84</v>
      </c>
      <c r="D86" s="46">
        <v>0</v>
      </c>
      <c r="E86" s="46">
        <v>0</v>
      </c>
      <c r="F86" s="46">
        <v>0</v>
      </c>
      <c r="G86" s="46">
        <v>5</v>
      </c>
      <c r="H86" s="46">
        <v>0</v>
      </c>
      <c r="I86" s="46">
        <f t="shared" si="1"/>
        <v>75</v>
      </c>
    </row>
    <row r="87" spans="1:9" x14ac:dyDescent="0.35">
      <c r="A87" t="str">
        <f>"090301"</f>
        <v>090301</v>
      </c>
      <c r="B87" t="s">
        <v>1608</v>
      </c>
      <c r="C87" s="46">
        <v>152</v>
      </c>
      <c r="D87" s="46">
        <v>0</v>
      </c>
      <c r="E87" s="46">
        <v>0</v>
      </c>
      <c r="F87" s="46">
        <v>0</v>
      </c>
      <c r="G87" s="46">
        <v>0</v>
      </c>
      <c r="H87" s="46">
        <v>41</v>
      </c>
      <c r="I87" s="46">
        <f t="shared" si="1"/>
        <v>94</v>
      </c>
    </row>
    <row r="88" spans="1:9" x14ac:dyDescent="0.35">
      <c r="A88" t="str">
        <f>"090501"</f>
        <v>090501</v>
      </c>
      <c r="B88" t="s">
        <v>1609</v>
      </c>
      <c r="C88" s="46">
        <v>83</v>
      </c>
      <c r="D88" s="46">
        <v>0</v>
      </c>
      <c r="E88" s="46">
        <v>0</v>
      </c>
      <c r="F88" s="46">
        <v>0</v>
      </c>
      <c r="G88" s="46">
        <v>0</v>
      </c>
      <c r="H88" s="46">
        <v>7</v>
      </c>
      <c r="I88" s="46">
        <f t="shared" si="1"/>
        <v>64</v>
      </c>
    </row>
    <row r="89" spans="1:9" x14ac:dyDescent="0.35">
      <c r="A89" t="str">
        <f>"090601"</f>
        <v>090601</v>
      </c>
      <c r="B89" t="s">
        <v>1610</v>
      </c>
      <c r="C89" s="46">
        <v>46</v>
      </c>
      <c r="D89" s="46">
        <v>0</v>
      </c>
      <c r="E89" s="46">
        <v>0</v>
      </c>
      <c r="F89" s="46">
        <v>0</v>
      </c>
      <c r="G89" s="46">
        <v>0</v>
      </c>
      <c r="H89" s="46">
        <v>1</v>
      </c>
      <c r="I89" s="46">
        <f t="shared" si="1"/>
        <v>38</v>
      </c>
    </row>
    <row r="90" spans="1:9" x14ac:dyDescent="0.35">
      <c r="A90" t="str">
        <f>"090901"</f>
        <v>090901</v>
      </c>
      <c r="B90" t="s">
        <v>1611</v>
      </c>
      <c r="C90" s="46">
        <v>51</v>
      </c>
      <c r="D90" s="46">
        <v>0</v>
      </c>
      <c r="E90" s="46">
        <v>0</v>
      </c>
      <c r="F90" s="46">
        <v>0</v>
      </c>
      <c r="G90" s="46">
        <v>0</v>
      </c>
      <c r="H90" s="46">
        <v>5</v>
      </c>
      <c r="I90" s="46">
        <f t="shared" si="1"/>
        <v>39</v>
      </c>
    </row>
    <row r="91" spans="1:9" x14ac:dyDescent="0.35">
      <c r="A91" t="str">
        <f>"091101"</f>
        <v>091101</v>
      </c>
      <c r="B91" t="s">
        <v>1612</v>
      </c>
      <c r="C91" s="46">
        <v>134</v>
      </c>
      <c r="D91" s="46">
        <v>0</v>
      </c>
      <c r="E91" s="46">
        <v>0</v>
      </c>
      <c r="F91" s="46">
        <v>0</v>
      </c>
      <c r="G91" s="46">
        <v>16</v>
      </c>
      <c r="H91" s="46">
        <v>11</v>
      </c>
      <c r="I91" s="46">
        <f t="shared" si="1"/>
        <v>118</v>
      </c>
    </row>
    <row r="92" spans="1:9" x14ac:dyDescent="0.35">
      <c r="A92" t="str">
        <f>"091200"</f>
        <v>091200</v>
      </c>
      <c r="B92" t="s">
        <v>1613</v>
      </c>
      <c r="C92" s="46">
        <v>121</v>
      </c>
      <c r="D92" s="46">
        <v>0</v>
      </c>
      <c r="E92" s="46">
        <v>0</v>
      </c>
      <c r="F92" s="46">
        <v>0</v>
      </c>
      <c r="G92" s="46">
        <v>0</v>
      </c>
      <c r="H92" s="46">
        <v>13</v>
      </c>
      <c r="I92" s="46">
        <f t="shared" si="1"/>
        <v>91</v>
      </c>
    </row>
    <row r="93" spans="1:9" x14ac:dyDescent="0.35">
      <c r="A93" t="str">
        <f>"091402"</f>
        <v>091402</v>
      </c>
      <c r="B93" t="s">
        <v>1614</v>
      </c>
      <c r="C93" s="46">
        <v>101</v>
      </c>
      <c r="D93" s="46">
        <v>0</v>
      </c>
      <c r="E93" s="46">
        <v>0</v>
      </c>
      <c r="F93" s="46">
        <v>0</v>
      </c>
      <c r="G93" s="46">
        <v>0</v>
      </c>
      <c r="H93" s="46">
        <v>8</v>
      </c>
      <c r="I93" s="46">
        <f t="shared" si="1"/>
        <v>79</v>
      </c>
    </row>
    <row r="94" spans="1:9" x14ac:dyDescent="0.35">
      <c r="A94" t="str">
        <f>"100501"</f>
        <v>100501</v>
      </c>
      <c r="B94" t="s">
        <v>1615</v>
      </c>
      <c r="C94" s="46">
        <v>71</v>
      </c>
      <c r="D94" s="46">
        <v>0</v>
      </c>
      <c r="E94" s="46">
        <v>0</v>
      </c>
      <c r="F94" s="46">
        <v>0</v>
      </c>
      <c r="G94" s="46">
        <v>17</v>
      </c>
      <c r="H94" s="46">
        <v>3</v>
      </c>
      <c r="I94" s="46">
        <f t="shared" si="1"/>
        <v>72</v>
      </c>
    </row>
    <row r="95" spans="1:9" x14ac:dyDescent="0.35">
      <c r="A95" t="str">
        <f>"100902"</f>
        <v>100902</v>
      </c>
      <c r="B95" t="s">
        <v>1616</v>
      </c>
      <c r="C95" s="46">
        <v>34</v>
      </c>
      <c r="D95" s="46">
        <v>0</v>
      </c>
      <c r="E95" s="46">
        <v>0</v>
      </c>
      <c r="F95" s="46">
        <v>0</v>
      </c>
      <c r="G95" s="46">
        <v>0</v>
      </c>
      <c r="H95" s="46">
        <v>0</v>
      </c>
      <c r="I95" s="46">
        <f t="shared" si="1"/>
        <v>28</v>
      </c>
    </row>
    <row r="96" spans="1:9" x14ac:dyDescent="0.35">
      <c r="A96" t="str">
        <f>"101001"</f>
        <v>101001</v>
      </c>
      <c r="B96" t="s">
        <v>1617</v>
      </c>
      <c r="C96" s="46">
        <v>54</v>
      </c>
      <c r="D96" s="46">
        <v>0</v>
      </c>
      <c r="E96" s="46">
        <v>0</v>
      </c>
      <c r="F96" s="46">
        <v>0</v>
      </c>
      <c r="G96" s="46">
        <v>0</v>
      </c>
      <c r="H96" s="46">
        <v>3</v>
      </c>
      <c r="I96" s="46">
        <f t="shared" si="1"/>
        <v>43</v>
      </c>
    </row>
    <row r="97" spans="1:9" x14ac:dyDescent="0.35">
      <c r="A97" t="str">
        <f>"101300"</f>
        <v>101300</v>
      </c>
      <c r="B97" t="s">
        <v>1445</v>
      </c>
      <c r="C97" s="46">
        <v>133</v>
      </c>
      <c r="D97" s="46">
        <v>0</v>
      </c>
      <c r="E97" s="46">
        <v>0</v>
      </c>
      <c r="F97" s="46">
        <v>0</v>
      </c>
      <c r="G97" s="46">
        <v>0</v>
      </c>
      <c r="H97" s="46">
        <v>10</v>
      </c>
      <c r="I97" s="46">
        <f t="shared" si="1"/>
        <v>104</v>
      </c>
    </row>
    <row r="98" spans="1:9" x14ac:dyDescent="0.35">
      <c r="A98" t="str">
        <f>"101401"</f>
        <v>101401</v>
      </c>
      <c r="B98" t="s">
        <v>1459</v>
      </c>
      <c r="C98" s="46">
        <v>119</v>
      </c>
      <c r="D98" s="46">
        <v>0</v>
      </c>
      <c r="E98" s="46">
        <v>0</v>
      </c>
      <c r="F98" s="46">
        <v>0</v>
      </c>
      <c r="G98" s="46">
        <v>0</v>
      </c>
      <c r="H98" s="46">
        <v>14</v>
      </c>
      <c r="I98" s="46">
        <f t="shared" si="1"/>
        <v>89</v>
      </c>
    </row>
    <row r="99" spans="1:9" x14ac:dyDescent="0.35">
      <c r="A99" t="str">
        <f>"101601"</f>
        <v>101601</v>
      </c>
      <c r="B99" t="s">
        <v>1618</v>
      </c>
      <c r="C99" s="46">
        <v>30</v>
      </c>
      <c r="D99" s="46">
        <v>0</v>
      </c>
      <c r="E99" s="46">
        <v>0</v>
      </c>
      <c r="F99" s="46">
        <v>0</v>
      </c>
      <c r="G99" s="46">
        <v>0</v>
      </c>
      <c r="H99" s="46">
        <v>0</v>
      </c>
      <c r="I99" s="46">
        <f t="shared" si="1"/>
        <v>25</v>
      </c>
    </row>
    <row r="100" spans="1:9" x14ac:dyDescent="0.35">
      <c r="A100" t="str">
        <f>"110101"</f>
        <v>110101</v>
      </c>
      <c r="B100" t="s">
        <v>1619</v>
      </c>
      <c r="C100" s="46">
        <v>36</v>
      </c>
      <c r="D100" s="46">
        <v>0</v>
      </c>
      <c r="E100" s="46">
        <v>0</v>
      </c>
      <c r="F100" s="46">
        <v>0</v>
      </c>
      <c r="G100" s="46">
        <v>0</v>
      </c>
      <c r="H100" s="46">
        <v>0</v>
      </c>
      <c r="I100" s="46">
        <f t="shared" si="1"/>
        <v>30</v>
      </c>
    </row>
    <row r="101" spans="1:9" x14ac:dyDescent="0.35">
      <c r="A101" t="str">
        <f>"110200"</f>
        <v>110200</v>
      </c>
      <c r="B101" t="s">
        <v>1620</v>
      </c>
      <c r="C101" s="46">
        <v>138</v>
      </c>
      <c r="D101" s="46">
        <v>0</v>
      </c>
      <c r="E101" s="46">
        <v>5</v>
      </c>
      <c r="F101" s="46">
        <v>0</v>
      </c>
      <c r="G101" s="46">
        <v>15</v>
      </c>
      <c r="H101" s="46">
        <v>17</v>
      </c>
      <c r="I101" s="46">
        <f t="shared" si="1"/>
        <v>119</v>
      </c>
    </row>
    <row r="102" spans="1:9" x14ac:dyDescent="0.35">
      <c r="A102" t="str">
        <f>"110304"</f>
        <v>110304</v>
      </c>
      <c r="B102" t="s">
        <v>1621</v>
      </c>
      <c r="C102" s="46">
        <v>42</v>
      </c>
      <c r="D102" s="46">
        <v>0</v>
      </c>
      <c r="E102" s="46">
        <v>1</v>
      </c>
      <c r="F102" s="46">
        <v>0</v>
      </c>
      <c r="G102" s="46">
        <v>0</v>
      </c>
      <c r="H102" s="46">
        <v>6</v>
      </c>
      <c r="I102" s="46">
        <f t="shared" si="1"/>
        <v>31</v>
      </c>
    </row>
    <row r="103" spans="1:9" x14ac:dyDescent="0.35">
      <c r="A103" t="str">
        <f>"110701"</f>
        <v>110701</v>
      </c>
      <c r="B103" t="s">
        <v>1622</v>
      </c>
      <c r="C103" s="46">
        <v>115</v>
      </c>
      <c r="D103" s="46">
        <v>0</v>
      </c>
      <c r="E103" s="46">
        <v>6</v>
      </c>
      <c r="F103" s="46">
        <v>0</v>
      </c>
      <c r="G103" s="46">
        <v>0</v>
      </c>
      <c r="H103" s="46">
        <v>0</v>
      </c>
      <c r="I103" s="46">
        <f t="shared" si="1"/>
        <v>102</v>
      </c>
    </row>
    <row r="104" spans="1:9" x14ac:dyDescent="0.35">
      <c r="A104" t="str">
        <f>"110901"</f>
        <v>110901</v>
      </c>
      <c r="B104" t="s">
        <v>1623</v>
      </c>
      <c r="C104" s="46">
        <v>72</v>
      </c>
      <c r="D104" s="46">
        <v>0</v>
      </c>
      <c r="E104" s="46">
        <v>0</v>
      </c>
      <c r="F104" s="46">
        <v>0</v>
      </c>
      <c r="G104" s="46">
        <v>0</v>
      </c>
      <c r="H104" s="46">
        <v>3</v>
      </c>
      <c r="I104" s="46">
        <f t="shared" si="1"/>
        <v>58</v>
      </c>
    </row>
    <row r="105" spans="1:9" x14ac:dyDescent="0.35">
      <c r="A105" t="str">
        <f>"120102"</f>
        <v>120102</v>
      </c>
      <c r="B105" t="s">
        <v>1624</v>
      </c>
      <c r="C105" s="46">
        <v>3</v>
      </c>
      <c r="D105" s="46">
        <v>0</v>
      </c>
      <c r="E105" s="46">
        <v>0</v>
      </c>
      <c r="F105" s="46">
        <v>0</v>
      </c>
      <c r="G105" s="46">
        <v>0</v>
      </c>
      <c r="H105" s="46">
        <v>0</v>
      </c>
      <c r="I105" s="46">
        <f t="shared" si="1"/>
        <v>2</v>
      </c>
    </row>
    <row r="106" spans="1:9" x14ac:dyDescent="0.35">
      <c r="A106" t="str">
        <f>"120301"</f>
        <v>120301</v>
      </c>
      <c r="B106" t="s">
        <v>1625</v>
      </c>
      <c r="C106" s="46">
        <v>17</v>
      </c>
      <c r="D106" s="46">
        <v>0</v>
      </c>
      <c r="E106" s="46">
        <v>0</v>
      </c>
      <c r="F106" s="46">
        <v>0</v>
      </c>
      <c r="G106" s="46">
        <v>0</v>
      </c>
      <c r="H106" s="46">
        <v>1</v>
      </c>
      <c r="I106" s="46">
        <f t="shared" si="1"/>
        <v>13</v>
      </c>
    </row>
    <row r="107" spans="1:9" x14ac:dyDescent="0.35">
      <c r="A107" t="str">
        <f>"120401"</f>
        <v>120401</v>
      </c>
      <c r="B107" t="s">
        <v>230</v>
      </c>
      <c r="C107" s="46">
        <v>30</v>
      </c>
      <c r="D107" s="46">
        <v>0</v>
      </c>
      <c r="E107" s="46">
        <v>0</v>
      </c>
      <c r="F107" s="46">
        <v>0</v>
      </c>
      <c r="G107" s="46">
        <v>0</v>
      </c>
      <c r="H107" s="46">
        <v>0</v>
      </c>
      <c r="I107" s="46">
        <f t="shared" si="1"/>
        <v>25</v>
      </c>
    </row>
    <row r="108" spans="1:9" x14ac:dyDescent="0.35">
      <c r="A108" t="str">
        <f>"120501"</f>
        <v>120501</v>
      </c>
      <c r="B108" t="s">
        <v>1626</v>
      </c>
      <c r="C108" s="46">
        <v>55</v>
      </c>
      <c r="D108" s="46">
        <v>0</v>
      </c>
      <c r="E108" s="46">
        <v>0</v>
      </c>
      <c r="F108" s="46">
        <v>0</v>
      </c>
      <c r="G108" s="46">
        <v>0</v>
      </c>
      <c r="H108" s="46">
        <v>10</v>
      </c>
      <c r="I108" s="46">
        <f t="shared" si="1"/>
        <v>38</v>
      </c>
    </row>
    <row r="109" spans="1:9" x14ac:dyDescent="0.35">
      <c r="A109" t="str">
        <f>"120701"</f>
        <v>120701</v>
      </c>
      <c r="B109" t="s">
        <v>1627</v>
      </c>
      <c r="C109" s="46">
        <v>13</v>
      </c>
      <c r="D109" s="46">
        <v>0</v>
      </c>
      <c r="E109" s="46">
        <v>0</v>
      </c>
      <c r="F109" s="46">
        <v>0</v>
      </c>
      <c r="G109" s="46">
        <v>0</v>
      </c>
      <c r="H109" s="46">
        <v>0</v>
      </c>
      <c r="I109" s="46">
        <f t="shared" si="1"/>
        <v>11</v>
      </c>
    </row>
    <row r="110" spans="1:9" x14ac:dyDescent="0.35">
      <c r="A110" t="str">
        <f>"120906"</f>
        <v>120906</v>
      </c>
      <c r="B110" t="s">
        <v>1628</v>
      </c>
      <c r="C110" s="46">
        <v>22</v>
      </c>
      <c r="D110" s="46">
        <v>0</v>
      </c>
      <c r="E110" s="46">
        <v>0</v>
      </c>
      <c r="F110" s="46">
        <v>0</v>
      </c>
      <c r="G110" s="46">
        <v>0</v>
      </c>
      <c r="H110" s="46">
        <v>0</v>
      </c>
      <c r="I110" s="46">
        <f t="shared" si="1"/>
        <v>18</v>
      </c>
    </row>
    <row r="111" spans="1:9" x14ac:dyDescent="0.35">
      <c r="A111" t="str">
        <f>"121401"</f>
        <v>121401</v>
      </c>
      <c r="B111" t="s">
        <v>238</v>
      </c>
      <c r="C111" s="46">
        <v>13</v>
      </c>
      <c r="D111" s="46">
        <v>0</v>
      </c>
      <c r="E111" s="46">
        <v>0</v>
      </c>
      <c r="F111" s="46">
        <v>0</v>
      </c>
      <c r="G111" s="46">
        <v>0</v>
      </c>
      <c r="H111" s="46">
        <v>0</v>
      </c>
      <c r="I111" s="46">
        <f t="shared" si="1"/>
        <v>11</v>
      </c>
    </row>
    <row r="112" spans="1:9" x14ac:dyDescent="0.35">
      <c r="A112" t="str">
        <f>"121502"</f>
        <v>121502</v>
      </c>
      <c r="B112" t="s">
        <v>1629</v>
      </c>
      <c r="C112" s="46">
        <v>17</v>
      </c>
      <c r="D112" s="46">
        <v>0</v>
      </c>
      <c r="E112" s="46">
        <v>0</v>
      </c>
      <c r="F112" s="46">
        <v>0</v>
      </c>
      <c r="G112" s="46">
        <v>0</v>
      </c>
      <c r="H112" s="46">
        <v>1</v>
      </c>
      <c r="I112" s="46">
        <f t="shared" si="1"/>
        <v>13</v>
      </c>
    </row>
    <row r="113" spans="1:9" x14ac:dyDescent="0.35">
      <c r="A113" t="str">
        <f>"121601"</f>
        <v>121601</v>
      </c>
      <c r="B113" t="s">
        <v>1630</v>
      </c>
      <c r="C113" s="46">
        <v>55</v>
      </c>
      <c r="D113" s="46">
        <v>0</v>
      </c>
      <c r="E113" s="46">
        <v>0</v>
      </c>
      <c r="F113" s="46">
        <v>0</v>
      </c>
      <c r="G113" s="46">
        <v>0</v>
      </c>
      <c r="H113" s="46">
        <v>5</v>
      </c>
      <c r="I113" s="46">
        <f t="shared" si="1"/>
        <v>42</v>
      </c>
    </row>
    <row r="114" spans="1:9" x14ac:dyDescent="0.35">
      <c r="A114" t="str">
        <f>"121701"</f>
        <v>121701</v>
      </c>
      <c r="B114" t="s">
        <v>1631</v>
      </c>
      <c r="C114" s="46">
        <v>15</v>
      </c>
      <c r="D114" s="46">
        <v>0</v>
      </c>
      <c r="E114" s="46">
        <v>0</v>
      </c>
      <c r="F114" s="46">
        <v>0</v>
      </c>
      <c r="G114" s="46">
        <v>0</v>
      </c>
      <c r="H114" s="46">
        <v>0</v>
      </c>
      <c r="I114" s="46">
        <f t="shared" si="1"/>
        <v>12</v>
      </c>
    </row>
    <row r="115" spans="1:9" x14ac:dyDescent="0.35">
      <c r="A115" t="str">
        <f>"121702"</f>
        <v>121702</v>
      </c>
      <c r="B115" t="s">
        <v>1632</v>
      </c>
      <c r="C115" s="46">
        <v>11</v>
      </c>
      <c r="D115" s="46">
        <v>0</v>
      </c>
      <c r="E115" s="46">
        <v>0</v>
      </c>
      <c r="F115" s="46">
        <v>0</v>
      </c>
      <c r="G115" s="46">
        <v>3</v>
      </c>
      <c r="H115" s="46">
        <v>0</v>
      </c>
      <c r="I115" s="46">
        <f t="shared" si="1"/>
        <v>11</v>
      </c>
    </row>
    <row r="116" spans="1:9" x14ac:dyDescent="0.35">
      <c r="A116" t="str">
        <f>"121901"</f>
        <v>121901</v>
      </c>
      <c r="B116" t="s">
        <v>1633</v>
      </c>
      <c r="C116" s="46">
        <v>52</v>
      </c>
      <c r="D116" s="46">
        <v>0</v>
      </c>
      <c r="E116" s="46">
        <v>0</v>
      </c>
      <c r="F116" s="46">
        <v>0</v>
      </c>
      <c r="G116" s="46">
        <v>0</v>
      </c>
      <c r="H116" s="46">
        <v>0</v>
      </c>
      <c r="I116" s="46">
        <f t="shared" si="1"/>
        <v>44</v>
      </c>
    </row>
    <row r="117" spans="1:9" x14ac:dyDescent="0.35">
      <c r="A117" t="str">
        <f>"130200"</f>
        <v>130200</v>
      </c>
      <c r="B117" t="s">
        <v>1515</v>
      </c>
      <c r="C117" s="46">
        <v>163</v>
      </c>
      <c r="D117" s="46">
        <v>0</v>
      </c>
      <c r="E117" s="46">
        <v>0</v>
      </c>
      <c r="F117" s="46">
        <v>0</v>
      </c>
      <c r="G117" s="46">
        <v>27</v>
      </c>
      <c r="H117" s="46">
        <v>0</v>
      </c>
      <c r="I117" s="46">
        <f t="shared" si="1"/>
        <v>161</v>
      </c>
    </row>
    <row r="118" spans="1:9" x14ac:dyDescent="0.35">
      <c r="A118" t="str">
        <f>"130502"</f>
        <v>130502</v>
      </c>
      <c r="B118" t="s">
        <v>1634</v>
      </c>
      <c r="C118" s="46">
        <v>78</v>
      </c>
      <c r="D118" s="46">
        <v>0</v>
      </c>
      <c r="E118" s="46">
        <v>0</v>
      </c>
      <c r="F118" s="46">
        <v>0</v>
      </c>
      <c r="G118" s="46">
        <v>0</v>
      </c>
      <c r="H118" s="46">
        <v>6</v>
      </c>
      <c r="I118" s="46">
        <f t="shared" si="1"/>
        <v>61</v>
      </c>
    </row>
    <row r="119" spans="1:9" x14ac:dyDescent="0.35">
      <c r="A119" t="str">
        <f>"130801"</f>
        <v>130801</v>
      </c>
      <c r="B119" t="s">
        <v>1635</v>
      </c>
      <c r="C119" s="46">
        <v>218</v>
      </c>
      <c r="D119" s="46">
        <v>0</v>
      </c>
      <c r="E119" s="46">
        <v>0</v>
      </c>
      <c r="F119" s="46">
        <v>0</v>
      </c>
      <c r="G119" s="46">
        <v>18</v>
      </c>
      <c r="H119" s="46">
        <v>32</v>
      </c>
      <c r="I119" s="46">
        <f t="shared" si="1"/>
        <v>173</v>
      </c>
    </row>
    <row r="120" spans="1:9" x14ac:dyDescent="0.35">
      <c r="A120" t="str">
        <f>"131101"</f>
        <v>131101</v>
      </c>
      <c r="B120" t="s">
        <v>1636</v>
      </c>
      <c r="C120" s="46">
        <v>42</v>
      </c>
      <c r="D120" s="46">
        <v>0</v>
      </c>
      <c r="E120" s="46">
        <v>0</v>
      </c>
      <c r="F120" s="46">
        <v>0</v>
      </c>
      <c r="G120" s="46">
        <v>0</v>
      </c>
      <c r="H120" s="46">
        <v>0</v>
      </c>
      <c r="I120" s="46">
        <f t="shared" si="1"/>
        <v>35</v>
      </c>
    </row>
    <row r="121" spans="1:9" x14ac:dyDescent="0.35">
      <c r="A121" t="str">
        <f>"131201"</f>
        <v>131201</v>
      </c>
      <c r="B121" t="s">
        <v>1637</v>
      </c>
      <c r="C121" s="46">
        <v>57</v>
      </c>
      <c r="D121" s="46">
        <v>0</v>
      </c>
      <c r="E121" s="46">
        <v>0</v>
      </c>
      <c r="F121" s="46">
        <v>0</v>
      </c>
      <c r="G121" s="46">
        <v>11</v>
      </c>
      <c r="H121" s="46">
        <v>12</v>
      </c>
      <c r="I121" s="46">
        <f t="shared" si="1"/>
        <v>47</v>
      </c>
    </row>
    <row r="122" spans="1:9" x14ac:dyDescent="0.35">
      <c r="A122" t="str">
        <f>"131301"</f>
        <v>131301</v>
      </c>
      <c r="B122" t="s">
        <v>1638</v>
      </c>
      <c r="C122" s="46">
        <v>55</v>
      </c>
      <c r="D122" s="46">
        <v>0</v>
      </c>
      <c r="E122" s="46">
        <v>0</v>
      </c>
      <c r="F122" s="46">
        <v>0</v>
      </c>
      <c r="G122" s="46">
        <v>0</v>
      </c>
      <c r="H122" s="46">
        <v>5</v>
      </c>
      <c r="I122" s="46">
        <f t="shared" si="1"/>
        <v>42</v>
      </c>
    </row>
    <row r="123" spans="1:9" x14ac:dyDescent="0.35">
      <c r="A123" t="str">
        <f>"131500"</f>
        <v>131500</v>
      </c>
      <c r="B123" t="s">
        <v>1639</v>
      </c>
      <c r="C123" s="46">
        <v>247</v>
      </c>
      <c r="D123" s="46">
        <v>0</v>
      </c>
      <c r="E123" s="46">
        <v>42</v>
      </c>
      <c r="F123" s="46">
        <v>0</v>
      </c>
      <c r="G123" s="46">
        <v>4</v>
      </c>
      <c r="H123" s="46">
        <v>0</v>
      </c>
      <c r="I123" s="46">
        <f t="shared" si="1"/>
        <v>249</v>
      </c>
    </row>
    <row r="124" spans="1:9" x14ac:dyDescent="0.35">
      <c r="A124" t="str">
        <f>"131601"</f>
        <v>131601</v>
      </c>
      <c r="B124" t="s">
        <v>1640</v>
      </c>
      <c r="C124" s="46">
        <v>528</v>
      </c>
      <c r="D124" s="46">
        <v>0</v>
      </c>
      <c r="E124" s="46">
        <v>0</v>
      </c>
      <c r="F124" s="46">
        <v>0</v>
      </c>
      <c r="G124" s="46">
        <v>45</v>
      </c>
      <c r="H124" s="46">
        <v>0</v>
      </c>
      <c r="I124" s="46">
        <f t="shared" si="1"/>
        <v>487</v>
      </c>
    </row>
    <row r="125" spans="1:9" x14ac:dyDescent="0.35">
      <c r="A125" t="str">
        <f>"131602"</f>
        <v>131602</v>
      </c>
      <c r="B125" t="s">
        <v>1641</v>
      </c>
      <c r="C125" s="46">
        <v>89</v>
      </c>
      <c r="D125" s="46">
        <v>0</v>
      </c>
      <c r="E125" s="46">
        <v>0</v>
      </c>
      <c r="F125" s="46">
        <v>0</v>
      </c>
      <c r="G125" s="46">
        <v>14</v>
      </c>
      <c r="H125" s="46">
        <v>0</v>
      </c>
      <c r="I125" s="46">
        <f t="shared" si="1"/>
        <v>87</v>
      </c>
    </row>
    <row r="126" spans="1:9" x14ac:dyDescent="0.35">
      <c r="A126" t="str">
        <f>"131701"</f>
        <v>131701</v>
      </c>
      <c r="B126" t="s">
        <v>1642</v>
      </c>
      <c r="C126" s="46">
        <v>86</v>
      </c>
      <c r="D126" s="46">
        <v>0</v>
      </c>
      <c r="E126" s="46">
        <v>0</v>
      </c>
      <c r="F126" s="46">
        <v>0</v>
      </c>
      <c r="G126" s="46">
        <v>0</v>
      </c>
      <c r="H126" s="46">
        <v>1</v>
      </c>
      <c r="I126" s="46">
        <f t="shared" si="1"/>
        <v>72</v>
      </c>
    </row>
    <row r="127" spans="1:9" x14ac:dyDescent="0.35">
      <c r="A127" t="str">
        <f>"131801"</f>
        <v>131801</v>
      </c>
      <c r="B127" t="s">
        <v>1643</v>
      </c>
      <c r="C127" s="46">
        <v>58</v>
      </c>
      <c r="D127" s="46">
        <v>0</v>
      </c>
      <c r="E127" s="46">
        <v>0</v>
      </c>
      <c r="F127" s="46">
        <v>0</v>
      </c>
      <c r="G127" s="46">
        <v>8</v>
      </c>
      <c r="H127" s="46">
        <v>0</v>
      </c>
      <c r="I127" s="46">
        <f t="shared" si="1"/>
        <v>56</v>
      </c>
    </row>
    <row r="128" spans="1:9" x14ac:dyDescent="0.35">
      <c r="A128" t="str">
        <f>"132101"</f>
        <v>132101</v>
      </c>
      <c r="B128" t="s">
        <v>1457</v>
      </c>
      <c r="C128" s="46">
        <v>663</v>
      </c>
      <c r="D128" s="46">
        <v>0</v>
      </c>
      <c r="E128" s="46">
        <v>0</v>
      </c>
      <c r="F128" s="46">
        <v>0</v>
      </c>
      <c r="G128" s="46">
        <v>59</v>
      </c>
      <c r="H128" s="46">
        <v>0</v>
      </c>
      <c r="I128" s="46">
        <f t="shared" si="1"/>
        <v>613</v>
      </c>
    </row>
    <row r="129" spans="1:9" x14ac:dyDescent="0.35">
      <c r="A129" t="str">
        <f>"132201"</f>
        <v>132201</v>
      </c>
      <c r="B129" t="s">
        <v>1644</v>
      </c>
      <c r="C129" s="46">
        <v>52</v>
      </c>
      <c r="D129" s="46">
        <v>0</v>
      </c>
      <c r="E129" s="46">
        <v>0</v>
      </c>
      <c r="F129" s="46">
        <v>0</v>
      </c>
      <c r="G129" s="46">
        <v>22</v>
      </c>
      <c r="H129" s="46">
        <v>6</v>
      </c>
      <c r="I129" s="46">
        <f t="shared" si="1"/>
        <v>57</v>
      </c>
    </row>
    <row r="130" spans="1:9" x14ac:dyDescent="0.35">
      <c r="A130" t="str">
        <f>"140101"</f>
        <v>140101</v>
      </c>
      <c r="B130" t="s">
        <v>1645</v>
      </c>
      <c r="C130" s="46">
        <v>93</v>
      </c>
      <c r="D130" s="46">
        <v>0</v>
      </c>
      <c r="E130" s="46">
        <v>0</v>
      </c>
      <c r="F130" s="46">
        <v>0</v>
      </c>
      <c r="G130" s="46">
        <v>15</v>
      </c>
      <c r="H130" s="46">
        <v>4</v>
      </c>
      <c r="I130" s="46">
        <f t="shared" ref="I130:I193" si="2">MAX(TRUNC((C130+D130+E130+F130+G130-H130)*0.85,0),0)</f>
        <v>88</v>
      </c>
    </row>
    <row r="131" spans="1:9" x14ac:dyDescent="0.35">
      <c r="A131" t="str">
        <f>"140201"</f>
        <v>140201</v>
      </c>
      <c r="B131" t="s">
        <v>1646</v>
      </c>
      <c r="C131" s="46">
        <v>214</v>
      </c>
      <c r="D131" s="46">
        <v>0</v>
      </c>
      <c r="E131" s="46">
        <v>5</v>
      </c>
      <c r="F131" s="46">
        <v>0</v>
      </c>
      <c r="G131" s="46">
        <v>71</v>
      </c>
      <c r="H131" s="46">
        <v>8</v>
      </c>
      <c r="I131" s="46">
        <f t="shared" si="2"/>
        <v>239</v>
      </c>
    </row>
    <row r="132" spans="1:9" x14ac:dyDescent="0.35">
      <c r="A132" t="str">
        <f>"140203"</f>
        <v>140203</v>
      </c>
      <c r="B132" t="s">
        <v>281</v>
      </c>
      <c r="C132" s="46">
        <v>693</v>
      </c>
      <c r="D132" s="46">
        <v>0</v>
      </c>
      <c r="E132" s="46">
        <v>2</v>
      </c>
      <c r="F132" s="46">
        <v>0</v>
      </c>
      <c r="G132" s="46">
        <v>89</v>
      </c>
      <c r="H132" s="46">
        <v>28</v>
      </c>
      <c r="I132" s="46">
        <f t="shared" si="2"/>
        <v>642</v>
      </c>
    </row>
    <row r="133" spans="1:9" x14ac:dyDescent="0.35">
      <c r="A133" t="str">
        <f>"140207"</f>
        <v>140207</v>
      </c>
      <c r="B133" t="s">
        <v>1510</v>
      </c>
      <c r="C133" s="46">
        <v>256</v>
      </c>
      <c r="D133" s="46">
        <v>0</v>
      </c>
      <c r="E133" s="46">
        <v>7</v>
      </c>
      <c r="F133" s="46">
        <v>0</v>
      </c>
      <c r="G133" s="46">
        <v>24</v>
      </c>
      <c r="H133" s="46">
        <v>16</v>
      </c>
      <c r="I133" s="46">
        <f t="shared" si="2"/>
        <v>230</v>
      </c>
    </row>
    <row r="134" spans="1:9" x14ac:dyDescent="0.35">
      <c r="A134" t="str">
        <f>"140301"</f>
        <v>140301</v>
      </c>
      <c r="B134" t="s">
        <v>1647</v>
      </c>
      <c r="C134" s="46">
        <v>100</v>
      </c>
      <c r="D134" s="46">
        <v>0</v>
      </c>
      <c r="E134" s="46">
        <v>0</v>
      </c>
      <c r="F134" s="46">
        <v>0</v>
      </c>
      <c r="G134" s="46">
        <v>34</v>
      </c>
      <c r="H134" s="46">
        <v>5</v>
      </c>
      <c r="I134" s="46">
        <f t="shared" si="2"/>
        <v>109</v>
      </c>
    </row>
    <row r="135" spans="1:9" x14ac:dyDescent="0.35">
      <c r="A135" t="str">
        <f>"140600"</f>
        <v>140600</v>
      </c>
      <c r="B135" t="s">
        <v>1648</v>
      </c>
      <c r="C135" s="46">
        <v>2084</v>
      </c>
      <c r="D135" s="46">
        <v>0</v>
      </c>
      <c r="E135" s="46">
        <v>1005</v>
      </c>
      <c r="F135" s="46">
        <v>0</v>
      </c>
      <c r="G135" s="46">
        <v>212</v>
      </c>
      <c r="H135" s="46">
        <v>234</v>
      </c>
      <c r="I135" s="46">
        <f t="shared" si="2"/>
        <v>2606</v>
      </c>
    </row>
    <row r="136" spans="1:9" x14ac:dyDescent="0.35">
      <c r="A136" t="str">
        <f>"140701"</f>
        <v>140701</v>
      </c>
      <c r="B136" t="s">
        <v>1649</v>
      </c>
      <c r="C136" s="46">
        <v>152</v>
      </c>
      <c r="D136" s="46">
        <v>0</v>
      </c>
      <c r="E136" s="46">
        <v>14</v>
      </c>
      <c r="F136" s="46">
        <v>0</v>
      </c>
      <c r="G136" s="46">
        <v>0</v>
      </c>
      <c r="H136" s="46">
        <v>0</v>
      </c>
      <c r="I136" s="46">
        <f t="shared" si="2"/>
        <v>141</v>
      </c>
    </row>
    <row r="137" spans="1:9" x14ac:dyDescent="0.35">
      <c r="A137" t="str">
        <f>"140702"</f>
        <v>140702</v>
      </c>
      <c r="B137" t="s">
        <v>1650</v>
      </c>
      <c r="C137" s="46">
        <v>167</v>
      </c>
      <c r="D137" s="46">
        <v>0</v>
      </c>
      <c r="E137" s="46">
        <v>3</v>
      </c>
      <c r="F137" s="46">
        <v>0</v>
      </c>
      <c r="G137" s="46">
        <v>0</v>
      </c>
      <c r="H137" s="46">
        <v>13</v>
      </c>
      <c r="I137" s="46">
        <f t="shared" si="2"/>
        <v>133</v>
      </c>
    </row>
    <row r="138" spans="1:9" x14ac:dyDescent="0.35">
      <c r="A138" t="str">
        <f>"140703"</f>
        <v>140703</v>
      </c>
      <c r="B138" t="s">
        <v>293</v>
      </c>
      <c r="C138" s="46">
        <v>97</v>
      </c>
      <c r="D138" s="46">
        <v>0</v>
      </c>
      <c r="E138" s="46">
        <v>6</v>
      </c>
      <c r="F138" s="46">
        <v>0</v>
      </c>
      <c r="G138" s="46">
        <v>0</v>
      </c>
      <c r="H138" s="46">
        <v>16</v>
      </c>
      <c r="I138" s="46">
        <f t="shared" si="2"/>
        <v>73</v>
      </c>
    </row>
    <row r="139" spans="1:9" x14ac:dyDescent="0.35">
      <c r="A139" t="str">
        <f>"140707"</f>
        <v>140707</v>
      </c>
      <c r="B139" t="s">
        <v>1651</v>
      </c>
      <c r="C139" s="46">
        <v>139</v>
      </c>
      <c r="D139" s="46">
        <v>0</v>
      </c>
      <c r="E139" s="46">
        <v>1</v>
      </c>
      <c r="F139" s="46">
        <v>0</v>
      </c>
      <c r="G139" s="46">
        <v>0</v>
      </c>
      <c r="H139" s="46">
        <v>0</v>
      </c>
      <c r="I139" s="46">
        <f t="shared" si="2"/>
        <v>119</v>
      </c>
    </row>
    <row r="140" spans="1:9" x14ac:dyDescent="0.35">
      <c r="A140" t="str">
        <f>"140709"</f>
        <v>140709</v>
      </c>
      <c r="B140" t="s">
        <v>1652</v>
      </c>
      <c r="C140" s="46">
        <v>96</v>
      </c>
      <c r="D140" s="46">
        <v>0</v>
      </c>
      <c r="E140" s="46">
        <v>8</v>
      </c>
      <c r="F140" s="46">
        <v>0</v>
      </c>
      <c r="G140" s="46">
        <v>0</v>
      </c>
      <c r="H140" s="46">
        <v>0</v>
      </c>
      <c r="I140" s="46">
        <f t="shared" si="2"/>
        <v>88</v>
      </c>
    </row>
    <row r="141" spans="1:9" x14ac:dyDescent="0.35">
      <c r="A141" t="str">
        <f>"140801"</f>
        <v>140801</v>
      </c>
      <c r="B141" t="s">
        <v>1653</v>
      </c>
      <c r="C141" s="46">
        <v>317</v>
      </c>
      <c r="D141" s="46">
        <v>0</v>
      </c>
      <c r="E141" s="46">
        <v>0</v>
      </c>
      <c r="F141" s="46">
        <v>0</v>
      </c>
      <c r="G141" s="46">
        <v>14</v>
      </c>
      <c r="H141" s="46">
        <v>9</v>
      </c>
      <c r="I141" s="46">
        <f t="shared" si="2"/>
        <v>273</v>
      </c>
    </row>
    <row r="142" spans="1:9" x14ac:dyDescent="0.35">
      <c r="A142" t="str">
        <f>"141101"</f>
        <v>141101</v>
      </c>
      <c r="B142" t="s">
        <v>301</v>
      </c>
      <c r="C142" s="46">
        <v>113</v>
      </c>
      <c r="D142" s="46">
        <v>0</v>
      </c>
      <c r="E142" s="46">
        <v>0</v>
      </c>
      <c r="F142" s="46">
        <v>0</v>
      </c>
      <c r="G142" s="46">
        <v>0</v>
      </c>
      <c r="H142" s="46">
        <v>0</v>
      </c>
      <c r="I142" s="46">
        <f t="shared" si="2"/>
        <v>96</v>
      </c>
    </row>
    <row r="143" spans="1:9" x14ac:dyDescent="0.35">
      <c r="A143" t="str">
        <f>"141201"</f>
        <v>141201</v>
      </c>
      <c r="B143" t="s">
        <v>1654</v>
      </c>
      <c r="C143" s="46">
        <v>94</v>
      </c>
      <c r="D143" s="46">
        <v>0</v>
      </c>
      <c r="E143" s="46">
        <v>0</v>
      </c>
      <c r="F143" s="46">
        <v>0</v>
      </c>
      <c r="G143" s="46">
        <v>0</v>
      </c>
      <c r="H143" s="46">
        <v>0</v>
      </c>
      <c r="I143" s="46">
        <f t="shared" si="2"/>
        <v>79</v>
      </c>
    </row>
    <row r="144" spans="1:9" x14ac:dyDescent="0.35">
      <c r="A144" t="str">
        <f>"141301"</f>
        <v>141301</v>
      </c>
      <c r="B144" t="s">
        <v>1655</v>
      </c>
      <c r="C144" s="46">
        <v>143</v>
      </c>
      <c r="D144" s="46">
        <v>0</v>
      </c>
      <c r="E144" s="46">
        <v>0</v>
      </c>
      <c r="F144" s="46">
        <v>0</v>
      </c>
      <c r="G144" s="46">
        <v>0</v>
      </c>
      <c r="H144" s="46">
        <v>5</v>
      </c>
      <c r="I144" s="46">
        <f t="shared" si="2"/>
        <v>117</v>
      </c>
    </row>
    <row r="145" spans="1:9" x14ac:dyDescent="0.35">
      <c r="A145" t="str">
        <f>"141401"</f>
        <v>141401</v>
      </c>
      <c r="B145" t="s">
        <v>1656</v>
      </c>
      <c r="C145" s="46">
        <v>144</v>
      </c>
      <c r="D145" s="46">
        <v>0</v>
      </c>
      <c r="E145" s="46">
        <v>0</v>
      </c>
      <c r="F145" s="46">
        <v>0</v>
      </c>
      <c r="G145" s="46">
        <v>0</v>
      </c>
      <c r="H145" s="46">
        <v>11</v>
      </c>
      <c r="I145" s="46">
        <f t="shared" si="2"/>
        <v>113</v>
      </c>
    </row>
    <row r="146" spans="1:9" x14ac:dyDescent="0.35">
      <c r="A146" t="str">
        <f>"141501"</f>
        <v>141501</v>
      </c>
      <c r="B146" t="s">
        <v>1657</v>
      </c>
      <c r="C146" s="46">
        <v>199</v>
      </c>
      <c r="D146" s="46">
        <v>0</v>
      </c>
      <c r="E146" s="46">
        <v>1</v>
      </c>
      <c r="F146" s="46">
        <v>0</v>
      </c>
      <c r="G146" s="46">
        <v>11</v>
      </c>
      <c r="H146" s="46">
        <v>13</v>
      </c>
      <c r="I146" s="46">
        <f t="shared" si="2"/>
        <v>168</v>
      </c>
    </row>
    <row r="147" spans="1:9" x14ac:dyDescent="0.35">
      <c r="A147" t="str">
        <f>"141601"</f>
        <v>141601</v>
      </c>
      <c r="B147" t="s">
        <v>1658</v>
      </c>
      <c r="C147" s="46">
        <v>269</v>
      </c>
      <c r="D147" s="46">
        <v>0</v>
      </c>
      <c r="E147" s="46">
        <v>0</v>
      </c>
      <c r="F147" s="46">
        <v>0</v>
      </c>
      <c r="G147" s="46">
        <v>22</v>
      </c>
      <c r="H147" s="46">
        <v>0</v>
      </c>
      <c r="I147" s="46">
        <f t="shared" si="2"/>
        <v>247</v>
      </c>
    </row>
    <row r="148" spans="1:9" x14ac:dyDescent="0.35">
      <c r="A148" t="str">
        <f>"141604"</f>
        <v>141604</v>
      </c>
      <c r="B148" t="s">
        <v>1659</v>
      </c>
      <c r="C148" s="46">
        <v>331</v>
      </c>
      <c r="D148" s="46">
        <v>0</v>
      </c>
      <c r="E148" s="46">
        <v>1</v>
      </c>
      <c r="F148" s="46">
        <v>0</v>
      </c>
      <c r="G148" s="46">
        <v>19</v>
      </c>
      <c r="H148" s="46">
        <v>39</v>
      </c>
      <c r="I148" s="46">
        <f t="shared" si="2"/>
        <v>265</v>
      </c>
    </row>
    <row r="149" spans="1:9" x14ac:dyDescent="0.35">
      <c r="A149" t="str">
        <f>"141701"</f>
        <v>141701</v>
      </c>
      <c r="B149" t="s">
        <v>1660</v>
      </c>
      <c r="C149" s="46">
        <v>49</v>
      </c>
      <c r="D149" s="46">
        <v>0</v>
      </c>
      <c r="E149" s="46">
        <v>0</v>
      </c>
      <c r="F149" s="46">
        <v>0</v>
      </c>
      <c r="G149" s="46">
        <v>0</v>
      </c>
      <c r="H149" s="46">
        <v>0</v>
      </c>
      <c r="I149" s="46">
        <f t="shared" si="2"/>
        <v>41</v>
      </c>
    </row>
    <row r="150" spans="1:9" x14ac:dyDescent="0.35">
      <c r="A150" t="str">
        <f>"141800"</f>
        <v>141800</v>
      </c>
      <c r="B150" t="s">
        <v>1661</v>
      </c>
      <c r="C150" s="46">
        <v>141</v>
      </c>
      <c r="D150" s="46">
        <v>0</v>
      </c>
      <c r="E150" s="46">
        <v>65</v>
      </c>
      <c r="F150" s="46">
        <v>0</v>
      </c>
      <c r="G150" s="46">
        <v>26</v>
      </c>
      <c r="H150" s="46">
        <v>21</v>
      </c>
      <c r="I150" s="46">
        <f t="shared" si="2"/>
        <v>179</v>
      </c>
    </row>
    <row r="151" spans="1:9" x14ac:dyDescent="0.35">
      <c r="A151" t="str">
        <f>"141901"</f>
        <v>141901</v>
      </c>
      <c r="B151" t="s">
        <v>1662</v>
      </c>
      <c r="C151" s="46">
        <v>406</v>
      </c>
      <c r="D151" s="46">
        <v>0</v>
      </c>
      <c r="E151" s="46">
        <v>1</v>
      </c>
      <c r="F151" s="46">
        <v>0</v>
      </c>
      <c r="G151" s="46">
        <v>35</v>
      </c>
      <c r="H151" s="46">
        <v>30</v>
      </c>
      <c r="I151" s="46">
        <f t="shared" si="2"/>
        <v>350</v>
      </c>
    </row>
    <row r="152" spans="1:9" x14ac:dyDescent="0.35">
      <c r="A152" t="str">
        <f>"142101"</f>
        <v>142101</v>
      </c>
      <c r="B152" t="s">
        <v>1663</v>
      </c>
      <c r="C152" s="46">
        <v>89</v>
      </c>
      <c r="D152" s="46">
        <v>0</v>
      </c>
      <c r="E152" s="46">
        <v>0</v>
      </c>
      <c r="F152" s="46">
        <v>0</v>
      </c>
      <c r="G152" s="46">
        <v>0</v>
      </c>
      <c r="H152" s="46">
        <v>2</v>
      </c>
      <c r="I152" s="46">
        <f t="shared" si="2"/>
        <v>73</v>
      </c>
    </row>
    <row r="153" spans="1:9" x14ac:dyDescent="0.35">
      <c r="A153" t="str">
        <f>"142201"</f>
        <v>142201</v>
      </c>
      <c r="B153" t="s">
        <v>323</v>
      </c>
      <c r="C153" s="46">
        <v>43</v>
      </c>
      <c r="D153" s="46">
        <v>0</v>
      </c>
      <c r="E153" s="46">
        <v>0</v>
      </c>
      <c r="F153" s="46">
        <v>0</v>
      </c>
      <c r="G153" s="46">
        <v>0</v>
      </c>
      <c r="H153" s="46">
        <v>0</v>
      </c>
      <c r="I153" s="46">
        <f t="shared" si="2"/>
        <v>36</v>
      </c>
    </row>
    <row r="154" spans="1:9" x14ac:dyDescent="0.35">
      <c r="A154" t="str">
        <f>"142301"</f>
        <v>142301</v>
      </c>
      <c r="B154" t="s">
        <v>1664</v>
      </c>
      <c r="C154" s="46">
        <v>335</v>
      </c>
      <c r="D154" s="46">
        <v>0</v>
      </c>
      <c r="E154" s="46">
        <v>0</v>
      </c>
      <c r="F154" s="46">
        <v>0</v>
      </c>
      <c r="G154" s="46">
        <v>33</v>
      </c>
      <c r="H154" s="46">
        <v>8</v>
      </c>
      <c r="I154" s="46">
        <f t="shared" si="2"/>
        <v>306</v>
      </c>
    </row>
    <row r="155" spans="1:9" x14ac:dyDescent="0.35">
      <c r="A155" t="str">
        <f>"142500"</f>
        <v>142500</v>
      </c>
      <c r="B155" t="s">
        <v>1665</v>
      </c>
      <c r="C155" s="46">
        <v>128</v>
      </c>
      <c r="D155" s="46">
        <v>0</v>
      </c>
      <c r="E155" s="46">
        <v>2</v>
      </c>
      <c r="F155" s="46">
        <v>0</v>
      </c>
      <c r="G155" s="46">
        <v>1</v>
      </c>
      <c r="H155" s="46">
        <v>10</v>
      </c>
      <c r="I155" s="46">
        <f t="shared" si="2"/>
        <v>102</v>
      </c>
    </row>
    <row r="156" spans="1:9" x14ac:dyDescent="0.35">
      <c r="A156" t="str">
        <f>"142601"</f>
        <v>142601</v>
      </c>
      <c r="B156" t="s">
        <v>1666</v>
      </c>
      <c r="C156" s="46">
        <v>464</v>
      </c>
      <c r="D156" s="46">
        <v>0</v>
      </c>
      <c r="E156" s="46">
        <v>10</v>
      </c>
      <c r="F156" s="46">
        <v>0</v>
      </c>
      <c r="G156" s="46">
        <v>85</v>
      </c>
      <c r="H156" s="46">
        <v>33</v>
      </c>
      <c r="I156" s="46">
        <f t="shared" si="2"/>
        <v>447</v>
      </c>
    </row>
    <row r="157" spans="1:9" x14ac:dyDescent="0.35">
      <c r="A157" t="str">
        <f>"142801"</f>
        <v>142801</v>
      </c>
      <c r="B157" t="s">
        <v>1667</v>
      </c>
      <c r="C157" s="46">
        <v>446</v>
      </c>
      <c r="D157" s="46">
        <v>0</v>
      </c>
      <c r="E157" s="46">
        <v>5</v>
      </c>
      <c r="F157" s="46">
        <v>0</v>
      </c>
      <c r="G157" s="46">
        <v>56</v>
      </c>
      <c r="H157" s="46">
        <v>41</v>
      </c>
      <c r="I157" s="46">
        <f t="shared" si="2"/>
        <v>396</v>
      </c>
    </row>
    <row r="158" spans="1:9" x14ac:dyDescent="0.35">
      <c r="A158" t="str">
        <f>"150203"</f>
        <v>150203</v>
      </c>
      <c r="B158" t="s">
        <v>1668</v>
      </c>
      <c r="C158" s="46">
        <v>27</v>
      </c>
      <c r="D158" s="46">
        <v>0</v>
      </c>
      <c r="E158" s="46">
        <v>0</v>
      </c>
      <c r="F158" s="46">
        <v>0</v>
      </c>
      <c r="G158" s="46">
        <v>0</v>
      </c>
      <c r="H158" s="46">
        <v>2</v>
      </c>
      <c r="I158" s="46">
        <f t="shared" si="2"/>
        <v>21</v>
      </c>
    </row>
    <row r="159" spans="1:9" x14ac:dyDescent="0.35">
      <c r="A159" t="str">
        <f>"150601"</f>
        <v>150601</v>
      </c>
      <c r="B159" t="s">
        <v>1669</v>
      </c>
      <c r="C159" s="46">
        <v>14</v>
      </c>
      <c r="D159" s="46">
        <v>0</v>
      </c>
      <c r="E159" s="46">
        <v>0</v>
      </c>
      <c r="F159" s="46">
        <v>0</v>
      </c>
      <c r="G159" s="46">
        <v>0</v>
      </c>
      <c r="H159" s="46">
        <v>0</v>
      </c>
      <c r="I159" s="46">
        <f t="shared" si="2"/>
        <v>11</v>
      </c>
    </row>
    <row r="160" spans="1:9" x14ac:dyDescent="0.35">
      <c r="A160" t="str">
        <f>"150801"</f>
        <v>150801</v>
      </c>
      <c r="B160" t="s">
        <v>1670</v>
      </c>
      <c r="C160" s="46">
        <v>11</v>
      </c>
      <c r="D160" s="46">
        <v>0</v>
      </c>
      <c r="E160" s="46">
        <v>0</v>
      </c>
      <c r="F160" s="46">
        <v>0</v>
      </c>
      <c r="G160" s="46">
        <v>0</v>
      </c>
      <c r="H160" s="46">
        <v>0</v>
      </c>
      <c r="I160" s="46">
        <f t="shared" si="2"/>
        <v>9</v>
      </c>
    </row>
    <row r="161" spans="1:9" x14ac:dyDescent="0.35">
      <c r="A161" t="str">
        <f>"150901"</f>
        <v>150901</v>
      </c>
      <c r="B161" t="s">
        <v>1671</v>
      </c>
      <c r="C161" s="46">
        <v>57</v>
      </c>
      <c r="D161" s="46">
        <v>0</v>
      </c>
      <c r="E161" s="46">
        <v>0</v>
      </c>
      <c r="F161" s="46">
        <v>0</v>
      </c>
      <c r="G161" s="46">
        <v>0</v>
      </c>
      <c r="H161" s="46">
        <v>0</v>
      </c>
      <c r="I161" s="46">
        <f t="shared" si="2"/>
        <v>48</v>
      </c>
    </row>
    <row r="162" spans="1:9" x14ac:dyDescent="0.35">
      <c r="A162" t="str">
        <f>"151001"</f>
        <v>151001</v>
      </c>
      <c r="B162" t="s">
        <v>1672</v>
      </c>
      <c r="C162" s="46">
        <v>0</v>
      </c>
      <c r="D162" s="46">
        <v>0</v>
      </c>
      <c r="E162" s="46">
        <v>0</v>
      </c>
      <c r="F162" s="46">
        <v>0</v>
      </c>
      <c r="G162" s="46">
        <v>0</v>
      </c>
      <c r="H162" s="46">
        <v>0</v>
      </c>
      <c r="I162" s="46">
        <f t="shared" si="2"/>
        <v>0</v>
      </c>
    </row>
    <row r="163" spans="1:9" x14ac:dyDescent="0.35">
      <c r="A163" t="str">
        <f>"151102"</f>
        <v>151102</v>
      </c>
      <c r="B163" t="s">
        <v>1673</v>
      </c>
      <c r="C163" s="46">
        <v>45</v>
      </c>
      <c r="D163" s="46">
        <v>0</v>
      </c>
      <c r="E163" s="46">
        <v>0</v>
      </c>
      <c r="F163" s="46">
        <v>0</v>
      </c>
      <c r="G163" s="46">
        <v>14</v>
      </c>
      <c r="H163" s="46">
        <v>0</v>
      </c>
      <c r="I163" s="46">
        <f t="shared" si="2"/>
        <v>50</v>
      </c>
    </row>
    <row r="164" spans="1:9" x14ac:dyDescent="0.35">
      <c r="A164" t="str">
        <f>"151401"</f>
        <v>151401</v>
      </c>
      <c r="B164" t="s">
        <v>1674</v>
      </c>
      <c r="C164" s="46">
        <v>15</v>
      </c>
      <c r="D164" s="46">
        <v>0</v>
      </c>
      <c r="E164" s="46">
        <v>0</v>
      </c>
      <c r="F164" s="46">
        <v>0</v>
      </c>
      <c r="G164" s="46">
        <v>0</v>
      </c>
      <c r="H164" s="46">
        <v>0</v>
      </c>
      <c r="I164" s="46">
        <f t="shared" si="2"/>
        <v>12</v>
      </c>
    </row>
    <row r="165" spans="1:9" x14ac:dyDescent="0.35">
      <c r="A165" t="str">
        <f>"151501"</f>
        <v>151501</v>
      </c>
      <c r="B165" t="s">
        <v>1675</v>
      </c>
      <c r="C165" s="46">
        <v>47</v>
      </c>
      <c r="D165" s="46">
        <v>0</v>
      </c>
      <c r="E165" s="46">
        <v>0</v>
      </c>
      <c r="F165" s="46">
        <v>0</v>
      </c>
      <c r="G165" s="46">
        <v>0</v>
      </c>
      <c r="H165" s="46">
        <v>1</v>
      </c>
      <c r="I165" s="46">
        <f t="shared" si="2"/>
        <v>39</v>
      </c>
    </row>
    <row r="166" spans="1:9" x14ac:dyDescent="0.35">
      <c r="A166" t="str">
        <f>"151701"</f>
        <v>151701</v>
      </c>
      <c r="B166" t="s">
        <v>1676</v>
      </c>
      <c r="C166" s="46">
        <v>18</v>
      </c>
      <c r="D166" s="46">
        <v>0</v>
      </c>
      <c r="E166" s="46">
        <v>0</v>
      </c>
      <c r="F166" s="46">
        <v>0</v>
      </c>
      <c r="G166" s="46">
        <v>6</v>
      </c>
      <c r="H166" s="46">
        <v>0</v>
      </c>
      <c r="I166" s="46">
        <f t="shared" si="2"/>
        <v>20</v>
      </c>
    </row>
    <row r="167" spans="1:9" x14ac:dyDescent="0.35">
      <c r="A167" t="str">
        <f>"151801"</f>
        <v>151801</v>
      </c>
      <c r="B167" t="s">
        <v>1677</v>
      </c>
      <c r="C167" s="46">
        <v>26</v>
      </c>
      <c r="D167" s="46">
        <v>0</v>
      </c>
      <c r="E167" s="46">
        <v>0</v>
      </c>
      <c r="F167" s="46">
        <v>0</v>
      </c>
      <c r="G167" s="46">
        <v>0</v>
      </c>
      <c r="H167" s="46">
        <v>0</v>
      </c>
      <c r="I167" s="46">
        <f t="shared" si="2"/>
        <v>22</v>
      </c>
    </row>
    <row r="168" spans="1:9" x14ac:dyDescent="0.35">
      <c r="A168" t="str">
        <f>"160101"</f>
        <v>160101</v>
      </c>
      <c r="B168" t="s">
        <v>1678</v>
      </c>
      <c r="C168" s="46">
        <v>53</v>
      </c>
      <c r="D168" s="46">
        <v>0</v>
      </c>
      <c r="E168" s="46">
        <v>0</v>
      </c>
      <c r="F168" s="46">
        <v>0</v>
      </c>
      <c r="G168" s="46">
        <v>0</v>
      </c>
      <c r="H168" s="46">
        <v>0</v>
      </c>
      <c r="I168" s="46">
        <f t="shared" si="2"/>
        <v>45</v>
      </c>
    </row>
    <row r="169" spans="1:9" x14ac:dyDescent="0.35">
      <c r="A169" t="str">
        <f>"160801"</f>
        <v>160801</v>
      </c>
      <c r="B169" t="s">
        <v>1519</v>
      </c>
      <c r="C169" s="46">
        <v>46</v>
      </c>
      <c r="D169" s="46">
        <v>0</v>
      </c>
      <c r="E169" s="46">
        <v>0</v>
      </c>
      <c r="F169" s="46">
        <v>0</v>
      </c>
      <c r="G169" s="46">
        <v>0</v>
      </c>
      <c r="H169" s="46">
        <v>1</v>
      </c>
      <c r="I169" s="46">
        <f t="shared" si="2"/>
        <v>38</v>
      </c>
    </row>
    <row r="170" spans="1:9" x14ac:dyDescent="0.35">
      <c r="A170" t="str">
        <f>"161201"</f>
        <v>161201</v>
      </c>
      <c r="B170" t="s">
        <v>1679</v>
      </c>
      <c r="C170" s="46">
        <v>96</v>
      </c>
      <c r="D170" s="46">
        <v>0</v>
      </c>
      <c r="E170" s="46">
        <v>0</v>
      </c>
      <c r="F170" s="46">
        <v>0</v>
      </c>
      <c r="G170" s="46">
        <v>0</v>
      </c>
      <c r="H170" s="46">
        <v>3</v>
      </c>
      <c r="I170" s="46">
        <f t="shared" si="2"/>
        <v>79</v>
      </c>
    </row>
    <row r="171" spans="1:9" x14ac:dyDescent="0.35">
      <c r="A171" t="str">
        <f>"161401"</f>
        <v>161401</v>
      </c>
      <c r="B171" t="s">
        <v>1680</v>
      </c>
      <c r="C171" s="46">
        <v>62</v>
      </c>
      <c r="D171" s="46">
        <v>0</v>
      </c>
      <c r="E171" s="46">
        <v>0</v>
      </c>
      <c r="F171" s="46">
        <v>0</v>
      </c>
      <c r="G171" s="46">
        <v>14</v>
      </c>
      <c r="H171" s="46">
        <v>2</v>
      </c>
      <c r="I171" s="46">
        <f t="shared" si="2"/>
        <v>62</v>
      </c>
    </row>
    <row r="172" spans="1:9" x14ac:dyDescent="0.35">
      <c r="A172" t="str">
        <f>"161501"</f>
        <v>161501</v>
      </c>
      <c r="B172" t="s">
        <v>1681</v>
      </c>
      <c r="C172" s="46">
        <v>138</v>
      </c>
      <c r="D172" s="46">
        <v>0</v>
      </c>
      <c r="E172" s="46">
        <v>0</v>
      </c>
      <c r="F172" s="46">
        <v>0</v>
      </c>
      <c r="G172" s="46">
        <v>0</v>
      </c>
      <c r="H172" s="46">
        <v>0</v>
      </c>
      <c r="I172" s="46">
        <f t="shared" si="2"/>
        <v>117</v>
      </c>
    </row>
    <row r="173" spans="1:9" x14ac:dyDescent="0.35">
      <c r="A173" t="str">
        <f>"161601"</f>
        <v>161601</v>
      </c>
      <c r="B173" t="s">
        <v>1682</v>
      </c>
      <c r="C173" s="46">
        <v>53</v>
      </c>
      <c r="D173" s="46">
        <v>0</v>
      </c>
      <c r="E173" s="46">
        <v>0</v>
      </c>
      <c r="F173" s="46">
        <v>0</v>
      </c>
      <c r="G173" s="46">
        <v>0</v>
      </c>
      <c r="H173" s="46">
        <v>6</v>
      </c>
      <c r="I173" s="46">
        <f t="shared" si="2"/>
        <v>39</v>
      </c>
    </row>
    <row r="174" spans="1:9" x14ac:dyDescent="0.35">
      <c r="A174" t="str">
        <f>"161801"</f>
        <v>161801</v>
      </c>
      <c r="B174" t="s">
        <v>363</v>
      </c>
      <c r="C174" s="46">
        <v>17</v>
      </c>
      <c r="D174" s="46">
        <v>0</v>
      </c>
      <c r="E174" s="46">
        <v>0</v>
      </c>
      <c r="F174" s="46">
        <v>0</v>
      </c>
      <c r="G174" s="46">
        <v>2</v>
      </c>
      <c r="H174" s="46">
        <v>0</v>
      </c>
      <c r="I174" s="46">
        <f t="shared" si="2"/>
        <v>16</v>
      </c>
    </row>
    <row r="175" spans="1:9" x14ac:dyDescent="0.35">
      <c r="A175" t="str">
        <f>"170301"</f>
        <v>170301</v>
      </c>
      <c r="B175" t="s">
        <v>1683</v>
      </c>
      <c r="C175" s="46">
        <v>14</v>
      </c>
      <c r="D175" s="46">
        <v>0</v>
      </c>
      <c r="E175" s="46">
        <v>0</v>
      </c>
      <c r="F175" s="46">
        <v>0</v>
      </c>
      <c r="G175" s="46">
        <v>0</v>
      </c>
      <c r="H175" s="46">
        <v>0</v>
      </c>
      <c r="I175" s="46">
        <f t="shared" si="2"/>
        <v>11</v>
      </c>
    </row>
    <row r="176" spans="1:9" x14ac:dyDescent="0.35">
      <c r="A176" t="str">
        <f>"170500"</f>
        <v>170500</v>
      </c>
      <c r="B176" t="s">
        <v>1684</v>
      </c>
      <c r="C176" s="46">
        <v>179</v>
      </c>
      <c r="D176" s="46">
        <v>0</v>
      </c>
      <c r="E176" s="46">
        <v>0</v>
      </c>
      <c r="F176" s="46">
        <v>0</v>
      </c>
      <c r="G176" s="46">
        <v>0</v>
      </c>
      <c r="H176" s="46">
        <v>18</v>
      </c>
      <c r="I176" s="46">
        <f t="shared" si="2"/>
        <v>136</v>
      </c>
    </row>
    <row r="177" spans="1:9" x14ac:dyDescent="0.35">
      <c r="A177" t="str">
        <f>"170600"</f>
        <v>170600</v>
      </c>
      <c r="B177" t="s">
        <v>1685</v>
      </c>
      <c r="C177" s="46">
        <v>104</v>
      </c>
      <c r="D177" s="46">
        <v>0</v>
      </c>
      <c r="E177" s="46">
        <v>0</v>
      </c>
      <c r="F177" s="46">
        <v>0</v>
      </c>
      <c r="G177" s="46">
        <v>0</v>
      </c>
      <c r="H177" s="46">
        <v>0</v>
      </c>
      <c r="I177" s="46">
        <f t="shared" si="2"/>
        <v>88</v>
      </c>
    </row>
    <row r="178" spans="1:9" x14ac:dyDescent="0.35">
      <c r="A178" t="str">
        <f>"170801"</f>
        <v>170801</v>
      </c>
      <c r="B178" t="s">
        <v>1686</v>
      </c>
      <c r="C178" s="46">
        <v>48</v>
      </c>
      <c r="D178" s="46">
        <v>0</v>
      </c>
      <c r="E178" s="46">
        <v>0</v>
      </c>
      <c r="F178" s="46">
        <v>0</v>
      </c>
      <c r="G178" s="46">
        <v>0</v>
      </c>
      <c r="H178" s="46">
        <v>0</v>
      </c>
      <c r="I178" s="46">
        <f t="shared" si="2"/>
        <v>40</v>
      </c>
    </row>
    <row r="179" spans="1:9" x14ac:dyDescent="0.35">
      <c r="A179" t="str">
        <f>"170901"</f>
        <v>170901</v>
      </c>
      <c r="B179" t="s">
        <v>1466</v>
      </c>
      <c r="C179" s="46">
        <v>26</v>
      </c>
      <c r="D179" s="46">
        <v>0</v>
      </c>
      <c r="E179" s="46">
        <v>0</v>
      </c>
      <c r="F179" s="46">
        <v>0</v>
      </c>
      <c r="G179" s="46">
        <v>0</v>
      </c>
      <c r="H179" s="46">
        <v>2</v>
      </c>
      <c r="I179" s="46">
        <f t="shared" si="2"/>
        <v>20</v>
      </c>
    </row>
    <row r="180" spans="1:9" x14ac:dyDescent="0.35">
      <c r="A180" t="str">
        <f>"171102"</f>
        <v>171102</v>
      </c>
      <c r="B180" t="s">
        <v>376</v>
      </c>
      <c r="C180" s="46">
        <v>83</v>
      </c>
      <c r="D180" s="46">
        <v>0</v>
      </c>
      <c r="E180" s="46">
        <v>0</v>
      </c>
      <c r="F180" s="46">
        <v>0</v>
      </c>
      <c r="G180" s="46">
        <v>1</v>
      </c>
      <c r="H180" s="46">
        <v>0</v>
      </c>
      <c r="I180" s="46">
        <f t="shared" si="2"/>
        <v>71</v>
      </c>
    </row>
    <row r="181" spans="1:9" x14ac:dyDescent="0.35">
      <c r="A181" t="str">
        <f>"180202"</f>
        <v>180202</v>
      </c>
      <c r="B181" t="s">
        <v>1687</v>
      </c>
      <c r="C181" s="46">
        <v>38</v>
      </c>
      <c r="D181" s="46">
        <v>0</v>
      </c>
      <c r="E181" s="46">
        <v>0</v>
      </c>
      <c r="F181" s="46">
        <v>0</v>
      </c>
      <c r="G181" s="46">
        <v>0</v>
      </c>
      <c r="H181" s="46">
        <v>0</v>
      </c>
      <c r="I181" s="46">
        <f t="shared" si="2"/>
        <v>32</v>
      </c>
    </row>
    <row r="182" spans="1:9" x14ac:dyDescent="0.35">
      <c r="A182" t="str">
        <f>"180300"</f>
        <v>180300</v>
      </c>
      <c r="B182" t="s">
        <v>1688</v>
      </c>
      <c r="C182" s="46">
        <v>160</v>
      </c>
      <c r="D182" s="46">
        <v>0</v>
      </c>
      <c r="E182" s="46">
        <v>0</v>
      </c>
      <c r="F182" s="46">
        <v>0</v>
      </c>
      <c r="G182" s="46">
        <v>23</v>
      </c>
      <c r="H182" s="46">
        <v>14</v>
      </c>
      <c r="I182" s="46">
        <f t="shared" si="2"/>
        <v>143</v>
      </c>
    </row>
    <row r="183" spans="1:9" x14ac:dyDescent="0.35">
      <c r="A183" t="str">
        <f>"180701"</f>
        <v>180701</v>
      </c>
      <c r="B183" t="s">
        <v>1689</v>
      </c>
      <c r="C183" s="46">
        <v>55</v>
      </c>
      <c r="D183" s="46">
        <v>0</v>
      </c>
      <c r="E183" s="46">
        <v>0</v>
      </c>
      <c r="F183" s="46">
        <v>0</v>
      </c>
      <c r="G183" s="46">
        <v>0</v>
      </c>
      <c r="H183" s="46">
        <v>13</v>
      </c>
      <c r="I183" s="46">
        <f t="shared" si="2"/>
        <v>35</v>
      </c>
    </row>
    <row r="184" spans="1:9" x14ac:dyDescent="0.35">
      <c r="A184" t="str">
        <f>"180901"</f>
        <v>180901</v>
      </c>
      <c r="B184" t="s">
        <v>1690</v>
      </c>
      <c r="C184" s="46">
        <v>29</v>
      </c>
      <c r="D184" s="46">
        <v>0</v>
      </c>
      <c r="E184" s="46">
        <v>0</v>
      </c>
      <c r="F184" s="46">
        <v>0</v>
      </c>
      <c r="G184" s="46">
        <v>0</v>
      </c>
      <c r="H184" s="46">
        <v>0</v>
      </c>
      <c r="I184" s="46">
        <f t="shared" si="2"/>
        <v>24</v>
      </c>
    </row>
    <row r="185" spans="1:9" x14ac:dyDescent="0.35">
      <c r="A185" t="str">
        <f>"181001"</f>
        <v>181001</v>
      </c>
      <c r="B185" t="s">
        <v>1691</v>
      </c>
      <c r="C185" s="46">
        <v>74</v>
      </c>
      <c r="D185" s="46">
        <v>0</v>
      </c>
      <c r="E185" s="46">
        <v>0</v>
      </c>
      <c r="F185" s="46">
        <v>0</v>
      </c>
      <c r="G185" s="46">
        <v>0</v>
      </c>
      <c r="H185" s="46">
        <v>0</v>
      </c>
      <c r="I185" s="46">
        <f t="shared" si="2"/>
        <v>62</v>
      </c>
    </row>
    <row r="186" spans="1:9" x14ac:dyDescent="0.35">
      <c r="A186" t="str">
        <f>"181101"</f>
        <v>181101</v>
      </c>
      <c r="B186" t="s">
        <v>1692</v>
      </c>
      <c r="C186" s="46">
        <v>41</v>
      </c>
      <c r="D186" s="46">
        <v>0</v>
      </c>
      <c r="E186" s="46">
        <v>0</v>
      </c>
      <c r="F186" s="46">
        <v>0</v>
      </c>
      <c r="G186" s="46">
        <v>0</v>
      </c>
      <c r="H186" s="46">
        <v>0</v>
      </c>
      <c r="I186" s="46">
        <f t="shared" si="2"/>
        <v>34</v>
      </c>
    </row>
    <row r="187" spans="1:9" x14ac:dyDescent="0.35">
      <c r="A187" t="str">
        <f>"181201"</f>
        <v>181201</v>
      </c>
      <c r="B187" t="s">
        <v>1693</v>
      </c>
      <c r="C187" s="46">
        <v>47</v>
      </c>
      <c r="D187" s="46">
        <v>0</v>
      </c>
      <c r="E187" s="46">
        <v>0</v>
      </c>
      <c r="F187" s="46">
        <v>0</v>
      </c>
      <c r="G187" s="46">
        <v>0</v>
      </c>
      <c r="H187" s="46">
        <v>3</v>
      </c>
      <c r="I187" s="46">
        <f t="shared" si="2"/>
        <v>37</v>
      </c>
    </row>
    <row r="188" spans="1:9" x14ac:dyDescent="0.35">
      <c r="A188" t="str">
        <f>"181302"</f>
        <v>181302</v>
      </c>
      <c r="B188" t="s">
        <v>1694</v>
      </c>
      <c r="C188" s="46">
        <v>61</v>
      </c>
      <c r="D188" s="46">
        <v>0</v>
      </c>
      <c r="E188" s="46">
        <v>0</v>
      </c>
      <c r="F188" s="46">
        <v>0</v>
      </c>
      <c r="G188" s="46">
        <v>0</v>
      </c>
      <c r="H188" s="46">
        <v>0</v>
      </c>
      <c r="I188" s="46">
        <f t="shared" si="2"/>
        <v>51</v>
      </c>
    </row>
    <row r="189" spans="1:9" x14ac:dyDescent="0.35">
      <c r="A189" t="str">
        <f>"190301"</f>
        <v>190301</v>
      </c>
      <c r="B189" t="s">
        <v>1695</v>
      </c>
      <c r="C189" s="46">
        <v>71</v>
      </c>
      <c r="D189" s="46">
        <v>0</v>
      </c>
      <c r="E189" s="46">
        <v>0</v>
      </c>
      <c r="F189" s="46">
        <v>0</v>
      </c>
      <c r="G189" s="46">
        <v>0</v>
      </c>
      <c r="H189" s="46">
        <v>0</v>
      </c>
      <c r="I189" s="46">
        <f t="shared" si="2"/>
        <v>60</v>
      </c>
    </row>
    <row r="190" spans="1:9" x14ac:dyDescent="0.35">
      <c r="A190" t="str">
        <f>"190401"</f>
        <v>190401</v>
      </c>
      <c r="B190" t="s">
        <v>1696</v>
      </c>
      <c r="C190" s="46">
        <v>95</v>
      </c>
      <c r="D190" s="46">
        <v>0</v>
      </c>
      <c r="E190" s="46">
        <v>0</v>
      </c>
      <c r="F190" s="46">
        <v>0</v>
      </c>
      <c r="G190" s="46">
        <v>13</v>
      </c>
      <c r="H190" s="46">
        <v>5</v>
      </c>
      <c r="I190" s="46">
        <f t="shared" si="2"/>
        <v>87</v>
      </c>
    </row>
    <row r="191" spans="1:9" x14ac:dyDescent="0.35">
      <c r="A191" t="str">
        <f>"190501"</f>
        <v>190501</v>
      </c>
      <c r="B191" t="s">
        <v>1697</v>
      </c>
      <c r="C191" s="46">
        <v>71</v>
      </c>
      <c r="D191" s="46">
        <v>0</v>
      </c>
      <c r="E191" s="46">
        <v>0</v>
      </c>
      <c r="F191" s="46">
        <v>0</v>
      </c>
      <c r="G191" s="46">
        <v>0</v>
      </c>
      <c r="H191" s="46">
        <v>6</v>
      </c>
      <c r="I191" s="46">
        <f t="shared" si="2"/>
        <v>55</v>
      </c>
    </row>
    <row r="192" spans="1:9" x14ac:dyDescent="0.35">
      <c r="A192" t="str">
        <f>"190701"</f>
        <v>190701</v>
      </c>
      <c r="B192" t="s">
        <v>1444</v>
      </c>
      <c r="C192" s="46">
        <v>78</v>
      </c>
      <c r="D192" s="46">
        <v>0</v>
      </c>
      <c r="E192" s="46">
        <v>0</v>
      </c>
      <c r="F192" s="46">
        <v>0</v>
      </c>
      <c r="G192" s="46">
        <v>4</v>
      </c>
      <c r="H192" s="46">
        <v>0</v>
      </c>
      <c r="I192" s="46">
        <f t="shared" si="2"/>
        <v>69</v>
      </c>
    </row>
    <row r="193" spans="1:9" x14ac:dyDescent="0.35">
      <c r="A193" t="str">
        <f>"190901"</f>
        <v>190901</v>
      </c>
      <c r="B193" t="s">
        <v>1698</v>
      </c>
      <c r="C193" s="46">
        <v>27</v>
      </c>
      <c r="D193" s="46">
        <v>0</v>
      </c>
      <c r="E193" s="46">
        <v>0</v>
      </c>
      <c r="F193" s="46">
        <v>0</v>
      </c>
      <c r="G193" s="46">
        <v>9</v>
      </c>
      <c r="H193" s="46">
        <v>0</v>
      </c>
      <c r="I193" s="46">
        <f t="shared" si="2"/>
        <v>30</v>
      </c>
    </row>
    <row r="194" spans="1:9" x14ac:dyDescent="0.35">
      <c r="A194" t="str">
        <f>"191401"</f>
        <v>191401</v>
      </c>
      <c r="B194" t="s">
        <v>1699</v>
      </c>
      <c r="C194" s="46">
        <v>16</v>
      </c>
      <c r="D194" s="46">
        <v>0</v>
      </c>
      <c r="E194" s="46">
        <v>0</v>
      </c>
      <c r="F194" s="46">
        <v>0</v>
      </c>
      <c r="G194" s="46">
        <v>0</v>
      </c>
      <c r="H194" s="46">
        <v>1</v>
      </c>
      <c r="I194" s="46">
        <f t="shared" ref="I194:I257" si="3">MAX(TRUNC((C194+D194+E194+F194+G194-H194)*0.85,0),0)</f>
        <v>12</v>
      </c>
    </row>
    <row r="195" spans="1:9" x14ac:dyDescent="0.35">
      <c r="A195" t="str">
        <f>"200401"</f>
        <v>200401</v>
      </c>
      <c r="B195" t="s">
        <v>1700</v>
      </c>
      <c r="C195" s="46">
        <v>11</v>
      </c>
      <c r="D195" s="46">
        <v>0</v>
      </c>
      <c r="E195" s="46">
        <v>0</v>
      </c>
      <c r="F195" s="46">
        <v>0</v>
      </c>
      <c r="G195" s="46">
        <v>0</v>
      </c>
      <c r="H195" s="46">
        <v>0</v>
      </c>
      <c r="I195" s="46">
        <f t="shared" si="3"/>
        <v>9</v>
      </c>
    </row>
    <row r="196" spans="1:9" x14ac:dyDescent="0.35">
      <c r="A196" t="str">
        <f>"200601"</f>
        <v>200601</v>
      </c>
      <c r="B196" t="s">
        <v>409</v>
      </c>
      <c r="C196" s="46">
        <v>4</v>
      </c>
      <c r="D196" s="46">
        <v>0</v>
      </c>
      <c r="E196" s="46">
        <v>0</v>
      </c>
      <c r="F196" s="46">
        <v>0</v>
      </c>
      <c r="G196" s="46">
        <v>0</v>
      </c>
      <c r="H196" s="46">
        <v>0</v>
      </c>
      <c r="I196" s="46">
        <f t="shared" si="3"/>
        <v>3</v>
      </c>
    </row>
    <row r="197" spans="1:9" x14ac:dyDescent="0.35">
      <c r="A197" t="str">
        <f>"200701"</f>
        <v>200701</v>
      </c>
      <c r="B197" t="s">
        <v>1701</v>
      </c>
      <c r="C197" s="46">
        <v>0</v>
      </c>
      <c r="D197" s="46">
        <v>0</v>
      </c>
      <c r="E197" s="46">
        <v>0</v>
      </c>
      <c r="F197" s="46">
        <v>0</v>
      </c>
      <c r="G197" s="46">
        <v>0</v>
      </c>
      <c r="H197" s="46">
        <v>0</v>
      </c>
      <c r="I197" s="46">
        <f t="shared" si="3"/>
        <v>0</v>
      </c>
    </row>
    <row r="198" spans="1:9" x14ac:dyDescent="0.35">
      <c r="A198" t="str">
        <f>"200901"</f>
        <v>200901</v>
      </c>
      <c r="B198" t="s">
        <v>1702</v>
      </c>
      <c r="C198" s="46">
        <v>13</v>
      </c>
      <c r="D198" s="46">
        <v>0</v>
      </c>
      <c r="E198" s="46">
        <v>0</v>
      </c>
      <c r="F198" s="46">
        <v>0</v>
      </c>
      <c r="G198" s="46">
        <v>0</v>
      </c>
      <c r="H198" s="46">
        <v>0</v>
      </c>
      <c r="I198" s="46">
        <f t="shared" si="3"/>
        <v>11</v>
      </c>
    </row>
    <row r="199" spans="1:9" x14ac:dyDescent="0.35">
      <c r="A199" t="str">
        <f>"210302"</f>
        <v>210302</v>
      </c>
      <c r="B199" t="s">
        <v>415</v>
      </c>
      <c r="C199" s="46">
        <v>43</v>
      </c>
      <c r="D199" s="46">
        <v>0</v>
      </c>
      <c r="E199" s="46">
        <v>0</v>
      </c>
      <c r="F199" s="46">
        <v>0</v>
      </c>
      <c r="G199" s="46">
        <v>0</v>
      </c>
      <c r="H199" s="46">
        <v>0</v>
      </c>
      <c r="I199" s="46">
        <f t="shared" si="3"/>
        <v>36</v>
      </c>
    </row>
    <row r="200" spans="1:9" x14ac:dyDescent="0.35">
      <c r="A200" t="str">
        <f>"210402"</f>
        <v>210402</v>
      </c>
      <c r="B200" t="s">
        <v>417</v>
      </c>
      <c r="C200" s="46">
        <v>48</v>
      </c>
      <c r="D200" s="46">
        <v>0</v>
      </c>
      <c r="E200" s="46">
        <v>2</v>
      </c>
      <c r="F200" s="46">
        <v>0</v>
      </c>
      <c r="G200" s="46">
        <v>0</v>
      </c>
      <c r="H200" s="46">
        <v>3</v>
      </c>
      <c r="I200" s="46">
        <f t="shared" si="3"/>
        <v>39</v>
      </c>
    </row>
    <row r="201" spans="1:9" x14ac:dyDescent="0.35">
      <c r="A201" t="str">
        <f>"210601"</f>
        <v>210601</v>
      </c>
      <c r="B201" t="s">
        <v>1703</v>
      </c>
      <c r="C201" s="46">
        <v>87</v>
      </c>
      <c r="D201" s="46">
        <v>0</v>
      </c>
      <c r="E201" s="46">
        <v>0</v>
      </c>
      <c r="F201" s="46">
        <v>0</v>
      </c>
      <c r="G201" s="46">
        <v>9</v>
      </c>
      <c r="H201" s="46">
        <v>6</v>
      </c>
      <c r="I201" s="46">
        <f t="shared" si="3"/>
        <v>76</v>
      </c>
    </row>
    <row r="202" spans="1:9" x14ac:dyDescent="0.35">
      <c r="A202" t="str">
        <f>"210800"</f>
        <v>210800</v>
      </c>
      <c r="B202" t="s">
        <v>1704</v>
      </c>
      <c r="C202" s="46">
        <v>82</v>
      </c>
      <c r="D202" s="46">
        <v>0</v>
      </c>
      <c r="E202" s="46">
        <v>0</v>
      </c>
      <c r="F202" s="46">
        <v>0</v>
      </c>
      <c r="G202" s="46">
        <v>2</v>
      </c>
      <c r="H202" s="46">
        <v>4</v>
      </c>
      <c r="I202" s="46">
        <f t="shared" si="3"/>
        <v>68</v>
      </c>
    </row>
    <row r="203" spans="1:9" x14ac:dyDescent="0.35">
      <c r="A203" t="str">
        <f>"211003"</f>
        <v>211003</v>
      </c>
      <c r="B203" t="s">
        <v>1464</v>
      </c>
      <c r="C203" s="46">
        <v>47</v>
      </c>
      <c r="D203" s="46">
        <v>0</v>
      </c>
      <c r="E203" s="46">
        <v>0</v>
      </c>
      <c r="F203" s="46">
        <v>0</v>
      </c>
      <c r="G203" s="46">
        <v>0</v>
      </c>
      <c r="H203" s="46">
        <v>1</v>
      </c>
      <c r="I203" s="46">
        <f t="shared" si="3"/>
        <v>39</v>
      </c>
    </row>
    <row r="204" spans="1:9" x14ac:dyDescent="0.35">
      <c r="A204" t="str">
        <f>"211103"</f>
        <v>211103</v>
      </c>
      <c r="B204" t="s">
        <v>1705</v>
      </c>
      <c r="C204" s="46">
        <v>37</v>
      </c>
      <c r="D204" s="46">
        <v>0</v>
      </c>
      <c r="E204" s="46">
        <v>0</v>
      </c>
      <c r="F204" s="46">
        <v>0</v>
      </c>
      <c r="G204" s="46">
        <v>0</v>
      </c>
      <c r="H204" s="46">
        <v>1</v>
      </c>
      <c r="I204" s="46">
        <f t="shared" si="3"/>
        <v>30</v>
      </c>
    </row>
    <row r="205" spans="1:9" x14ac:dyDescent="0.35">
      <c r="A205" t="str">
        <f>"211701"</f>
        <v>211701</v>
      </c>
      <c r="B205" t="s">
        <v>1706</v>
      </c>
      <c r="C205" s="46">
        <v>17</v>
      </c>
      <c r="D205" s="46">
        <v>0</v>
      </c>
      <c r="E205" s="46">
        <v>0</v>
      </c>
      <c r="F205" s="46">
        <v>0</v>
      </c>
      <c r="G205" s="46">
        <v>0</v>
      </c>
      <c r="H205" s="46">
        <v>0</v>
      </c>
      <c r="I205" s="46">
        <f t="shared" si="3"/>
        <v>14</v>
      </c>
    </row>
    <row r="206" spans="1:9" x14ac:dyDescent="0.35">
      <c r="A206" t="str">
        <f>"211901"</f>
        <v>211901</v>
      </c>
      <c r="B206" t="s">
        <v>1707</v>
      </c>
      <c r="C206" s="46">
        <v>13</v>
      </c>
      <c r="D206" s="46">
        <v>0</v>
      </c>
      <c r="E206" s="46">
        <v>0</v>
      </c>
      <c r="F206" s="46">
        <v>0</v>
      </c>
      <c r="G206" s="46">
        <v>0</v>
      </c>
      <c r="H206" s="46">
        <v>0</v>
      </c>
      <c r="I206" s="46">
        <f t="shared" si="3"/>
        <v>11</v>
      </c>
    </row>
    <row r="207" spans="1:9" x14ac:dyDescent="0.35">
      <c r="A207" t="str">
        <f>"212001"</f>
        <v>212001</v>
      </c>
      <c r="B207" t="s">
        <v>1708</v>
      </c>
      <c r="C207" s="46">
        <v>94</v>
      </c>
      <c r="D207" s="46">
        <v>0</v>
      </c>
      <c r="E207" s="46">
        <v>0</v>
      </c>
      <c r="F207" s="46">
        <v>0</v>
      </c>
      <c r="G207" s="46">
        <v>0</v>
      </c>
      <c r="H207" s="46">
        <v>4</v>
      </c>
      <c r="I207" s="46">
        <f t="shared" si="3"/>
        <v>76</v>
      </c>
    </row>
    <row r="208" spans="1:9" x14ac:dyDescent="0.35">
      <c r="A208" t="str">
        <f>"212101"</f>
        <v>212101</v>
      </c>
      <c r="B208" t="s">
        <v>431</v>
      </c>
      <c r="C208" s="46">
        <v>141</v>
      </c>
      <c r="D208" s="46">
        <v>0</v>
      </c>
      <c r="E208" s="46">
        <v>1</v>
      </c>
      <c r="F208" s="46">
        <v>0</v>
      </c>
      <c r="G208" s="46">
        <v>0</v>
      </c>
      <c r="H208" s="46">
        <v>5</v>
      </c>
      <c r="I208" s="46">
        <f t="shared" si="3"/>
        <v>116</v>
      </c>
    </row>
    <row r="209" spans="1:9" x14ac:dyDescent="0.35">
      <c r="A209" t="str">
        <f>"220101"</f>
        <v>220101</v>
      </c>
      <c r="B209" t="s">
        <v>1709</v>
      </c>
      <c r="C209" s="46">
        <v>120</v>
      </c>
      <c r="D209" s="46">
        <v>0</v>
      </c>
      <c r="E209" s="46">
        <v>0</v>
      </c>
      <c r="F209" s="46">
        <v>0</v>
      </c>
      <c r="G209" s="46">
        <v>0</v>
      </c>
      <c r="H209" s="46">
        <v>3</v>
      </c>
      <c r="I209" s="46">
        <f t="shared" si="3"/>
        <v>99</v>
      </c>
    </row>
    <row r="210" spans="1:9" x14ac:dyDescent="0.35">
      <c r="A210" t="str">
        <f>"220202"</f>
        <v>220202</v>
      </c>
      <c r="B210" t="s">
        <v>1506</v>
      </c>
      <c r="C210" s="46">
        <v>23</v>
      </c>
      <c r="D210" s="46">
        <v>0</v>
      </c>
      <c r="E210" s="46">
        <v>0</v>
      </c>
      <c r="F210" s="46">
        <v>0</v>
      </c>
      <c r="G210" s="46">
        <v>0</v>
      </c>
      <c r="H210" s="46">
        <v>1</v>
      </c>
      <c r="I210" s="46">
        <f t="shared" si="3"/>
        <v>18</v>
      </c>
    </row>
    <row r="211" spans="1:9" x14ac:dyDescent="0.35">
      <c r="A211" t="str">
        <f>"220301"</f>
        <v>220301</v>
      </c>
      <c r="B211" t="s">
        <v>1710</v>
      </c>
      <c r="C211" s="46">
        <v>361</v>
      </c>
      <c r="D211" s="46">
        <v>0</v>
      </c>
      <c r="E211" s="46">
        <v>0</v>
      </c>
      <c r="F211" s="46">
        <v>0</v>
      </c>
      <c r="G211" s="46">
        <v>0</v>
      </c>
      <c r="H211" s="46">
        <v>7</v>
      </c>
      <c r="I211" s="46">
        <f t="shared" si="3"/>
        <v>300</v>
      </c>
    </row>
    <row r="212" spans="1:9" x14ac:dyDescent="0.35">
      <c r="A212" t="str">
        <f>"220401"</f>
        <v>220401</v>
      </c>
      <c r="B212" t="s">
        <v>439</v>
      </c>
      <c r="C212" s="46">
        <v>102</v>
      </c>
      <c r="D212" s="46">
        <v>0</v>
      </c>
      <c r="E212" s="46">
        <v>0</v>
      </c>
      <c r="F212" s="46">
        <v>0</v>
      </c>
      <c r="G212" s="46">
        <v>0</v>
      </c>
      <c r="H212" s="46">
        <v>0</v>
      </c>
      <c r="I212" s="46">
        <f t="shared" si="3"/>
        <v>86</v>
      </c>
    </row>
    <row r="213" spans="1:9" x14ac:dyDescent="0.35">
      <c r="A213" t="str">
        <f>"220701"</f>
        <v>220701</v>
      </c>
      <c r="B213" t="s">
        <v>441</v>
      </c>
      <c r="C213" s="46">
        <v>85</v>
      </c>
      <c r="D213" s="46">
        <v>0</v>
      </c>
      <c r="E213" s="46">
        <v>0</v>
      </c>
      <c r="F213" s="46">
        <v>0</v>
      </c>
      <c r="G213" s="46">
        <v>0</v>
      </c>
      <c r="H213" s="46">
        <v>2</v>
      </c>
      <c r="I213" s="46">
        <f t="shared" si="3"/>
        <v>70</v>
      </c>
    </row>
    <row r="214" spans="1:9" x14ac:dyDescent="0.35">
      <c r="A214" t="str">
        <f>"220909"</f>
        <v>220909</v>
      </c>
      <c r="B214" t="s">
        <v>443</v>
      </c>
      <c r="C214" s="46">
        <v>37</v>
      </c>
      <c r="D214" s="46">
        <v>0</v>
      </c>
      <c r="E214" s="46">
        <v>0</v>
      </c>
      <c r="F214" s="46">
        <v>0</v>
      </c>
      <c r="G214" s="46">
        <v>0</v>
      </c>
      <c r="H214" s="46">
        <v>0</v>
      </c>
      <c r="I214" s="46">
        <f t="shared" si="3"/>
        <v>31</v>
      </c>
    </row>
    <row r="215" spans="1:9" x14ac:dyDescent="0.35">
      <c r="A215" t="str">
        <f>"221001"</f>
        <v>221001</v>
      </c>
      <c r="B215" t="s">
        <v>445</v>
      </c>
      <c r="C215" s="46">
        <v>33</v>
      </c>
      <c r="D215" s="46">
        <v>0</v>
      </c>
      <c r="E215" s="46">
        <v>0</v>
      </c>
      <c r="F215" s="46">
        <v>0</v>
      </c>
      <c r="G215" s="46">
        <v>0</v>
      </c>
      <c r="H215" s="46">
        <v>0</v>
      </c>
      <c r="I215" s="46">
        <f t="shared" si="3"/>
        <v>28</v>
      </c>
    </row>
    <row r="216" spans="1:9" x14ac:dyDescent="0.35">
      <c r="A216" t="str">
        <f>"221301"</f>
        <v>221301</v>
      </c>
      <c r="B216" t="s">
        <v>1711</v>
      </c>
      <c r="C216" s="46">
        <v>14</v>
      </c>
      <c r="D216" s="46">
        <v>0</v>
      </c>
      <c r="E216" s="46">
        <v>0</v>
      </c>
      <c r="F216" s="46">
        <v>0</v>
      </c>
      <c r="G216" s="46">
        <v>0</v>
      </c>
      <c r="H216" s="46">
        <v>0</v>
      </c>
      <c r="I216" s="46">
        <f t="shared" si="3"/>
        <v>11</v>
      </c>
    </row>
    <row r="217" spans="1:9" x14ac:dyDescent="0.35">
      <c r="A217" t="str">
        <f>"221401"</f>
        <v>221401</v>
      </c>
      <c r="B217" t="s">
        <v>449</v>
      </c>
      <c r="C217" s="46">
        <v>34</v>
      </c>
      <c r="D217" s="46">
        <v>0</v>
      </c>
      <c r="E217" s="46">
        <v>0</v>
      </c>
      <c r="F217" s="46">
        <v>0</v>
      </c>
      <c r="G217" s="46">
        <v>0</v>
      </c>
      <c r="H217" s="46">
        <v>0</v>
      </c>
      <c r="I217" s="46">
        <f t="shared" si="3"/>
        <v>28</v>
      </c>
    </row>
    <row r="218" spans="1:9" x14ac:dyDescent="0.35">
      <c r="A218" t="str">
        <f>"222000"</f>
        <v>222000</v>
      </c>
      <c r="B218" t="s">
        <v>1712</v>
      </c>
      <c r="C218" s="46">
        <v>352</v>
      </c>
      <c r="D218" s="46">
        <v>0</v>
      </c>
      <c r="E218" s="46">
        <v>0</v>
      </c>
      <c r="F218" s="46">
        <v>0</v>
      </c>
      <c r="G218" s="46">
        <v>51</v>
      </c>
      <c r="H218" s="46">
        <v>7</v>
      </c>
      <c r="I218" s="46">
        <f t="shared" si="3"/>
        <v>336</v>
      </c>
    </row>
    <row r="219" spans="1:9" x14ac:dyDescent="0.35">
      <c r="A219" t="str">
        <f>"222201"</f>
        <v>222201</v>
      </c>
      <c r="B219" t="s">
        <v>1713</v>
      </c>
      <c r="C219" s="46">
        <v>259</v>
      </c>
      <c r="D219" s="46">
        <v>0</v>
      </c>
      <c r="E219" s="46">
        <v>0</v>
      </c>
      <c r="F219" s="46">
        <v>0</v>
      </c>
      <c r="G219" s="46">
        <v>17</v>
      </c>
      <c r="H219" s="46">
        <v>0</v>
      </c>
      <c r="I219" s="46">
        <f t="shared" si="3"/>
        <v>234</v>
      </c>
    </row>
    <row r="220" spans="1:9" x14ac:dyDescent="0.35">
      <c r="A220" t="str">
        <f>"230201"</f>
        <v>230201</v>
      </c>
      <c r="B220" t="s">
        <v>1511</v>
      </c>
      <c r="C220" s="46">
        <v>28</v>
      </c>
      <c r="D220" s="46">
        <v>0</v>
      </c>
      <c r="E220" s="46">
        <v>0</v>
      </c>
      <c r="F220" s="46">
        <v>0</v>
      </c>
      <c r="G220" s="46">
        <v>0</v>
      </c>
      <c r="H220" s="46">
        <v>0</v>
      </c>
      <c r="I220" s="46">
        <f t="shared" si="3"/>
        <v>23</v>
      </c>
    </row>
    <row r="221" spans="1:9" x14ac:dyDescent="0.35">
      <c r="A221" t="str">
        <f>"230301"</f>
        <v>230301</v>
      </c>
      <c r="B221" t="s">
        <v>1714</v>
      </c>
      <c r="C221" s="46">
        <v>20</v>
      </c>
      <c r="D221" s="46">
        <v>0</v>
      </c>
      <c r="E221" s="46">
        <v>0</v>
      </c>
      <c r="F221" s="46">
        <v>0</v>
      </c>
      <c r="G221" s="46">
        <v>0</v>
      </c>
      <c r="H221" s="46">
        <v>0</v>
      </c>
      <c r="I221" s="46">
        <f t="shared" si="3"/>
        <v>17</v>
      </c>
    </row>
    <row r="222" spans="1:9" x14ac:dyDescent="0.35">
      <c r="A222" t="str">
        <f>"230901"</f>
        <v>230901</v>
      </c>
      <c r="B222" t="s">
        <v>1715</v>
      </c>
      <c r="C222" s="46">
        <v>92</v>
      </c>
      <c r="D222" s="46">
        <v>0</v>
      </c>
      <c r="E222" s="46">
        <v>0</v>
      </c>
      <c r="F222" s="46">
        <v>0</v>
      </c>
      <c r="G222" s="46">
        <v>0</v>
      </c>
      <c r="H222" s="46">
        <v>0</v>
      </c>
      <c r="I222" s="46">
        <f t="shared" si="3"/>
        <v>78</v>
      </c>
    </row>
    <row r="223" spans="1:9" x14ac:dyDescent="0.35">
      <c r="A223" t="str">
        <f>"231101"</f>
        <v>231101</v>
      </c>
      <c r="B223" t="s">
        <v>1716</v>
      </c>
      <c r="C223" s="46">
        <v>81</v>
      </c>
      <c r="D223" s="46">
        <v>0</v>
      </c>
      <c r="E223" s="46">
        <v>0</v>
      </c>
      <c r="F223" s="46">
        <v>0</v>
      </c>
      <c r="G223" s="46">
        <v>0</v>
      </c>
      <c r="H223" s="46">
        <v>0</v>
      </c>
      <c r="I223" s="46">
        <f t="shared" si="3"/>
        <v>68</v>
      </c>
    </row>
    <row r="224" spans="1:9" x14ac:dyDescent="0.35">
      <c r="A224" t="str">
        <f>"231301"</f>
        <v>231301</v>
      </c>
      <c r="B224" t="s">
        <v>1717</v>
      </c>
      <c r="C224" s="46">
        <v>73</v>
      </c>
      <c r="D224" s="46">
        <v>0</v>
      </c>
      <c r="E224" s="46">
        <v>0</v>
      </c>
      <c r="F224" s="46">
        <v>0</v>
      </c>
      <c r="G224" s="46">
        <v>3</v>
      </c>
      <c r="H224" s="46">
        <v>0</v>
      </c>
      <c r="I224" s="46">
        <f t="shared" si="3"/>
        <v>64</v>
      </c>
    </row>
    <row r="225" spans="1:9" x14ac:dyDescent="0.35">
      <c r="A225" t="str">
        <f>"240101"</f>
        <v>240101</v>
      </c>
      <c r="B225" t="s">
        <v>1718</v>
      </c>
      <c r="C225" s="46">
        <v>54</v>
      </c>
      <c r="D225" s="46">
        <v>0</v>
      </c>
      <c r="E225" s="46">
        <v>0</v>
      </c>
      <c r="F225" s="46">
        <v>0</v>
      </c>
      <c r="G225" s="46">
        <v>10</v>
      </c>
      <c r="H225" s="46">
        <v>3</v>
      </c>
      <c r="I225" s="46">
        <f t="shared" si="3"/>
        <v>51</v>
      </c>
    </row>
    <row r="226" spans="1:9" x14ac:dyDescent="0.35">
      <c r="A226" t="str">
        <f>"240201"</f>
        <v>240201</v>
      </c>
      <c r="B226" t="s">
        <v>1719</v>
      </c>
      <c r="C226" s="46">
        <v>56</v>
      </c>
      <c r="D226" s="46">
        <v>0</v>
      </c>
      <c r="E226" s="46">
        <v>0</v>
      </c>
      <c r="F226" s="46">
        <v>0</v>
      </c>
      <c r="G226" s="46">
        <v>0</v>
      </c>
      <c r="H226" s="46">
        <v>6</v>
      </c>
      <c r="I226" s="46">
        <f t="shared" si="3"/>
        <v>42</v>
      </c>
    </row>
    <row r="227" spans="1:9" x14ac:dyDescent="0.35">
      <c r="A227" t="str">
        <f>"240401"</f>
        <v>240401</v>
      </c>
      <c r="B227" t="s">
        <v>1720</v>
      </c>
      <c r="C227" s="46">
        <v>71</v>
      </c>
      <c r="D227" s="46">
        <v>0</v>
      </c>
      <c r="E227" s="46">
        <v>0</v>
      </c>
      <c r="F227" s="46">
        <v>0</v>
      </c>
      <c r="G227" s="46">
        <v>1</v>
      </c>
      <c r="H227" s="46">
        <v>14</v>
      </c>
      <c r="I227" s="46">
        <f t="shared" si="3"/>
        <v>49</v>
      </c>
    </row>
    <row r="228" spans="1:9" x14ac:dyDescent="0.35">
      <c r="A228" t="str">
        <f>"240801"</f>
        <v>240801</v>
      </c>
      <c r="B228" t="s">
        <v>1721</v>
      </c>
      <c r="C228" s="46">
        <v>96</v>
      </c>
      <c r="D228" s="46">
        <v>0</v>
      </c>
      <c r="E228" s="46">
        <v>0</v>
      </c>
      <c r="F228" s="46">
        <v>0</v>
      </c>
      <c r="G228" s="46">
        <v>0</v>
      </c>
      <c r="H228" s="46">
        <v>10</v>
      </c>
      <c r="I228" s="46">
        <f t="shared" si="3"/>
        <v>73</v>
      </c>
    </row>
    <row r="229" spans="1:9" x14ac:dyDescent="0.35">
      <c r="A229" t="str">
        <f>"240901"</f>
        <v>240901</v>
      </c>
      <c r="B229" t="s">
        <v>1722</v>
      </c>
      <c r="C229" s="46">
        <v>31</v>
      </c>
      <c r="D229" s="46">
        <v>0</v>
      </c>
      <c r="E229" s="46">
        <v>0</v>
      </c>
      <c r="F229" s="46">
        <v>0</v>
      </c>
      <c r="G229" s="46">
        <v>0</v>
      </c>
      <c r="H229" s="46">
        <v>0</v>
      </c>
      <c r="I229" s="46">
        <f t="shared" si="3"/>
        <v>26</v>
      </c>
    </row>
    <row r="230" spans="1:9" x14ac:dyDescent="0.35">
      <c r="A230" t="str">
        <f>"241001"</f>
        <v>241001</v>
      </c>
      <c r="B230" t="s">
        <v>1723</v>
      </c>
      <c r="C230" s="46">
        <v>81</v>
      </c>
      <c r="D230" s="46">
        <v>0</v>
      </c>
      <c r="E230" s="46">
        <v>0</v>
      </c>
      <c r="F230" s="46">
        <v>0</v>
      </c>
      <c r="G230" s="46">
        <v>0</v>
      </c>
      <c r="H230" s="46">
        <v>0</v>
      </c>
      <c r="I230" s="46">
        <f t="shared" si="3"/>
        <v>68</v>
      </c>
    </row>
    <row r="231" spans="1:9" x14ac:dyDescent="0.35">
      <c r="A231" t="str">
        <f>"241101"</f>
        <v>241101</v>
      </c>
      <c r="B231" t="s">
        <v>1724</v>
      </c>
      <c r="C231" s="46">
        <v>26</v>
      </c>
      <c r="D231" s="46">
        <v>0</v>
      </c>
      <c r="E231" s="46">
        <v>0</v>
      </c>
      <c r="F231" s="46">
        <v>0</v>
      </c>
      <c r="G231" s="46">
        <v>0</v>
      </c>
      <c r="H231" s="46">
        <v>8</v>
      </c>
      <c r="I231" s="46">
        <f t="shared" si="3"/>
        <v>15</v>
      </c>
    </row>
    <row r="232" spans="1:9" x14ac:dyDescent="0.35">
      <c r="A232" t="str">
        <f>"241701"</f>
        <v>241701</v>
      </c>
      <c r="B232" t="s">
        <v>1725</v>
      </c>
      <c r="C232" s="46">
        <v>38</v>
      </c>
      <c r="D232" s="46">
        <v>0</v>
      </c>
      <c r="E232" s="46">
        <v>0</v>
      </c>
      <c r="F232" s="46">
        <v>0</v>
      </c>
      <c r="G232" s="46">
        <v>0</v>
      </c>
      <c r="H232" s="46">
        <v>5</v>
      </c>
      <c r="I232" s="46">
        <f t="shared" si="3"/>
        <v>28</v>
      </c>
    </row>
    <row r="233" spans="1:9" x14ac:dyDescent="0.35">
      <c r="A233" t="str">
        <f>"250109"</f>
        <v>250109</v>
      </c>
      <c r="B233" t="s">
        <v>1517</v>
      </c>
      <c r="C233" s="46">
        <v>18</v>
      </c>
      <c r="D233" s="46">
        <v>0</v>
      </c>
      <c r="E233" s="46">
        <v>0</v>
      </c>
      <c r="F233" s="46">
        <v>0</v>
      </c>
      <c r="G233" s="46">
        <v>0</v>
      </c>
      <c r="H233" s="46">
        <v>0</v>
      </c>
      <c r="I233" s="46">
        <f t="shared" si="3"/>
        <v>15</v>
      </c>
    </row>
    <row r="234" spans="1:9" x14ac:dyDescent="0.35">
      <c r="A234" t="str">
        <f>"250201"</f>
        <v>250201</v>
      </c>
      <c r="B234" t="s">
        <v>1726</v>
      </c>
      <c r="C234" s="46">
        <v>92</v>
      </c>
      <c r="D234" s="46">
        <v>0</v>
      </c>
      <c r="E234" s="46">
        <v>0</v>
      </c>
      <c r="F234" s="46">
        <v>0</v>
      </c>
      <c r="G234" s="46">
        <v>0</v>
      </c>
      <c r="H234" s="46">
        <v>1</v>
      </c>
      <c r="I234" s="46">
        <f t="shared" si="3"/>
        <v>77</v>
      </c>
    </row>
    <row r="235" spans="1:9" x14ac:dyDescent="0.35">
      <c r="A235" t="str">
        <f>"250301"</f>
        <v>250301</v>
      </c>
      <c r="B235" t="s">
        <v>1727</v>
      </c>
      <c r="C235" s="46">
        <v>20</v>
      </c>
      <c r="D235" s="46">
        <v>0</v>
      </c>
      <c r="E235" s="46">
        <v>0</v>
      </c>
      <c r="F235" s="46">
        <v>0</v>
      </c>
      <c r="G235" s="46">
        <v>0</v>
      </c>
      <c r="H235" s="46">
        <v>0</v>
      </c>
      <c r="I235" s="46">
        <f t="shared" si="3"/>
        <v>17</v>
      </c>
    </row>
    <row r="236" spans="1:9" x14ac:dyDescent="0.35">
      <c r="A236" t="str">
        <f>"250401"</f>
        <v>250401</v>
      </c>
      <c r="B236" t="s">
        <v>1728</v>
      </c>
      <c r="C236" s="46">
        <v>48</v>
      </c>
      <c r="D236" s="46">
        <v>0</v>
      </c>
      <c r="E236" s="46">
        <v>0</v>
      </c>
      <c r="F236" s="46">
        <v>0</v>
      </c>
      <c r="G236" s="46">
        <v>0</v>
      </c>
      <c r="H236" s="46">
        <v>5</v>
      </c>
      <c r="I236" s="46">
        <f t="shared" si="3"/>
        <v>36</v>
      </c>
    </row>
    <row r="237" spans="1:9" x14ac:dyDescent="0.35">
      <c r="A237" t="str">
        <f>"250701"</f>
        <v>250701</v>
      </c>
      <c r="B237" t="s">
        <v>1729</v>
      </c>
      <c r="C237" s="46">
        <v>40</v>
      </c>
      <c r="D237" s="46">
        <v>0</v>
      </c>
      <c r="E237" s="46">
        <v>0</v>
      </c>
      <c r="F237" s="46">
        <v>0</v>
      </c>
      <c r="G237" s="46">
        <v>6</v>
      </c>
      <c r="H237" s="46">
        <v>0</v>
      </c>
      <c r="I237" s="46">
        <f t="shared" si="3"/>
        <v>39</v>
      </c>
    </row>
    <row r="238" spans="1:9" x14ac:dyDescent="0.35">
      <c r="A238" t="str">
        <f>"250901"</f>
        <v>250901</v>
      </c>
      <c r="B238" t="s">
        <v>1730</v>
      </c>
      <c r="C238" s="46">
        <v>93</v>
      </c>
      <c r="D238" s="46">
        <v>0</v>
      </c>
      <c r="E238" s="46">
        <v>0</v>
      </c>
      <c r="F238" s="46">
        <v>0</v>
      </c>
      <c r="G238" s="46">
        <v>0</v>
      </c>
      <c r="H238" s="46">
        <v>1</v>
      </c>
      <c r="I238" s="46">
        <f t="shared" si="3"/>
        <v>78</v>
      </c>
    </row>
    <row r="239" spans="1:9" x14ac:dyDescent="0.35">
      <c r="A239" t="str">
        <f>"251101"</f>
        <v>251101</v>
      </c>
      <c r="B239" t="s">
        <v>1731</v>
      </c>
      <c r="C239" s="46">
        <v>30</v>
      </c>
      <c r="D239" s="46">
        <v>0</v>
      </c>
      <c r="E239" s="46">
        <v>0</v>
      </c>
      <c r="F239" s="46">
        <v>0</v>
      </c>
      <c r="G239" s="46">
        <v>0</v>
      </c>
      <c r="H239" s="46">
        <v>1</v>
      </c>
      <c r="I239" s="46">
        <f t="shared" si="3"/>
        <v>24</v>
      </c>
    </row>
    <row r="240" spans="1:9" x14ac:dyDescent="0.35">
      <c r="A240" t="str">
        <f>"251400"</f>
        <v>251400</v>
      </c>
      <c r="B240" t="s">
        <v>1536</v>
      </c>
      <c r="C240" s="46">
        <v>109</v>
      </c>
      <c r="D240" s="46">
        <v>0</v>
      </c>
      <c r="E240" s="46">
        <v>0</v>
      </c>
      <c r="F240" s="46">
        <v>0</v>
      </c>
      <c r="G240" s="46">
        <v>15</v>
      </c>
      <c r="H240" s="46">
        <v>10</v>
      </c>
      <c r="I240" s="46">
        <f t="shared" si="3"/>
        <v>96</v>
      </c>
    </row>
    <row r="241" spans="1:9" x14ac:dyDescent="0.35">
      <c r="A241" t="str">
        <f>"251501"</f>
        <v>251501</v>
      </c>
      <c r="B241" t="s">
        <v>494</v>
      </c>
      <c r="C241" s="46">
        <v>30</v>
      </c>
      <c r="D241" s="46">
        <v>0</v>
      </c>
      <c r="E241" s="46">
        <v>0</v>
      </c>
      <c r="F241" s="46">
        <v>0</v>
      </c>
      <c r="G241" s="46">
        <v>0</v>
      </c>
      <c r="H241" s="46">
        <v>0</v>
      </c>
      <c r="I241" s="46">
        <f t="shared" si="3"/>
        <v>25</v>
      </c>
    </row>
    <row r="242" spans="1:9" x14ac:dyDescent="0.35">
      <c r="A242" t="str">
        <f>"251601"</f>
        <v>251601</v>
      </c>
      <c r="B242" t="s">
        <v>1732</v>
      </c>
      <c r="C242" s="46">
        <v>139</v>
      </c>
      <c r="D242" s="46">
        <v>0</v>
      </c>
      <c r="E242" s="46">
        <v>0</v>
      </c>
      <c r="F242" s="46">
        <v>0</v>
      </c>
      <c r="G242" s="46">
        <v>0</v>
      </c>
      <c r="H242" s="46">
        <v>0</v>
      </c>
      <c r="I242" s="46">
        <f t="shared" si="3"/>
        <v>118</v>
      </c>
    </row>
    <row r="243" spans="1:9" x14ac:dyDescent="0.35">
      <c r="A243" t="str">
        <f>"260101"</f>
        <v>260101</v>
      </c>
      <c r="B243" t="s">
        <v>1733</v>
      </c>
      <c r="C243" s="46">
        <v>239</v>
      </c>
      <c r="D243" s="46">
        <v>0</v>
      </c>
      <c r="E243" s="46">
        <v>0</v>
      </c>
      <c r="F243" s="46">
        <v>0</v>
      </c>
      <c r="G243" s="46">
        <v>97</v>
      </c>
      <c r="H243" s="46">
        <v>0</v>
      </c>
      <c r="I243" s="46">
        <f t="shared" si="3"/>
        <v>285</v>
      </c>
    </row>
    <row r="244" spans="1:9" x14ac:dyDescent="0.35">
      <c r="A244" t="str">
        <f>"260401"</f>
        <v>260401</v>
      </c>
      <c r="B244" t="s">
        <v>1734</v>
      </c>
      <c r="C244" s="46">
        <v>271</v>
      </c>
      <c r="D244" s="46">
        <v>0</v>
      </c>
      <c r="E244" s="46">
        <v>4</v>
      </c>
      <c r="F244" s="46">
        <v>0</v>
      </c>
      <c r="G244" s="46">
        <v>49</v>
      </c>
      <c r="H244" s="46">
        <v>30</v>
      </c>
      <c r="I244" s="46">
        <f t="shared" si="3"/>
        <v>249</v>
      </c>
    </row>
    <row r="245" spans="1:9" x14ac:dyDescent="0.35">
      <c r="A245" t="str">
        <f>"260501"</f>
        <v>260501</v>
      </c>
      <c r="B245" t="s">
        <v>1735</v>
      </c>
      <c r="C245" s="46">
        <v>671</v>
      </c>
      <c r="D245" s="46">
        <v>0</v>
      </c>
      <c r="E245" s="46">
        <v>17</v>
      </c>
      <c r="F245" s="46">
        <v>0</v>
      </c>
      <c r="G245" s="46">
        <v>72</v>
      </c>
      <c r="H245" s="46">
        <v>14</v>
      </c>
      <c r="I245" s="46">
        <f t="shared" si="3"/>
        <v>634</v>
      </c>
    </row>
    <row r="246" spans="1:9" x14ac:dyDescent="0.35">
      <c r="A246" t="str">
        <f>"260801"</f>
        <v>260801</v>
      </c>
      <c r="B246" t="s">
        <v>1736</v>
      </c>
      <c r="C246" s="46">
        <v>176</v>
      </c>
      <c r="D246" s="46">
        <v>0</v>
      </c>
      <c r="E246" s="46">
        <v>4</v>
      </c>
      <c r="F246" s="46">
        <v>0</v>
      </c>
      <c r="G246" s="46">
        <v>20</v>
      </c>
      <c r="H246" s="46">
        <v>4</v>
      </c>
      <c r="I246" s="46">
        <f t="shared" si="3"/>
        <v>166</v>
      </c>
    </row>
    <row r="247" spans="1:9" x14ac:dyDescent="0.35">
      <c r="A247" t="str">
        <f>"260803"</f>
        <v>260803</v>
      </c>
      <c r="B247" t="s">
        <v>1737</v>
      </c>
      <c r="C247" s="46">
        <v>235</v>
      </c>
      <c r="D247" s="46">
        <v>0</v>
      </c>
      <c r="E247" s="46">
        <v>0</v>
      </c>
      <c r="F247" s="46">
        <v>0</v>
      </c>
      <c r="G247" s="46">
        <v>17</v>
      </c>
      <c r="H247" s="46">
        <v>0</v>
      </c>
      <c r="I247" s="46">
        <f t="shared" si="3"/>
        <v>214</v>
      </c>
    </row>
    <row r="248" spans="1:9" x14ac:dyDescent="0.35">
      <c r="A248" t="str">
        <f>"260901"</f>
        <v>260901</v>
      </c>
      <c r="B248" t="s">
        <v>1738</v>
      </c>
      <c r="C248" s="46">
        <v>115</v>
      </c>
      <c r="D248" s="46">
        <v>0</v>
      </c>
      <c r="E248" s="46">
        <v>0</v>
      </c>
      <c r="F248" s="46">
        <v>0</v>
      </c>
      <c r="G248" s="46">
        <v>5</v>
      </c>
      <c r="H248" s="46">
        <v>0</v>
      </c>
      <c r="I248" s="46">
        <f t="shared" si="3"/>
        <v>102</v>
      </c>
    </row>
    <row r="249" spans="1:9" x14ac:dyDescent="0.35">
      <c r="A249" t="str">
        <f>"261001"</f>
        <v>261001</v>
      </c>
      <c r="B249" t="s">
        <v>1739</v>
      </c>
      <c r="C249" s="46">
        <v>234</v>
      </c>
      <c r="D249" s="46">
        <v>0</v>
      </c>
      <c r="E249" s="46">
        <v>0</v>
      </c>
      <c r="F249" s="46">
        <v>0</v>
      </c>
      <c r="G249" s="46">
        <v>0</v>
      </c>
      <c r="H249" s="46">
        <v>2</v>
      </c>
      <c r="I249" s="46">
        <f t="shared" si="3"/>
        <v>197</v>
      </c>
    </row>
    <row r="250" spans="1:9" x14ac:dyDescent="0.35">
      <c r="A250" t="str">
        <f>"261101"</f>
        <v>261101</v>
      </c>
      <c r="B250" t="s">
        <v>1740</v>
      </c>
      <c r="C250" s="46">
        <v>270</v>
      </c>
      <c r="D250" s="46">
        <v>0</v>
      </c>
      <c r="E250" s="46">
        <v>1</v>
      </c>
      <c r="F250" s="46">
        <v>0</v>
      </c>
      <c r="G250" s="46">
        <v>17</v>
      </c>
      <c r="H250" s="46">
        <v>0</v>
      </c>
      <c r="I250" s="46">
        <f t="shared" si="3"/>
        <v>244</v>
      </c>
    </row>
    <row r="251" spans="1:9" x14ac:dyDescent="0.35">
      <c r="A251" t="str">
        <f>"261201"</f>
        <v>261201</v>
      </c>
      <c r="B251" t="s">
        <v>1741</v>
      </c>
      <c r="C251" s="46">
        <v>328</v>
      </c>
      <c r="D251" s="46">
        <v>0</v>
      </c>
      <c r="E251" s="46">
        <v>0</v>
      </c>
      <c r="F251" s="46">
        <v>0</v>
      </c>
      <c r="G251" s="46">
        <v>69</v>
      </c>
      <c r="H251" s="46">
        <v>2</v>
      </c>
      <c r="I251" s="46">
        <f t="shared" si="3"/>
        <v>335</v>
      </c>
    </row>
    <row r="252" spans="1:9" x14ac:dyDescent="0.35">
      <c r="A252" t="str">
        <f>"261301"</f>
        <v>261301</v>
      </c>
      <c r="B252" t="s">
        <v>1742</v>
      </c>
      <c r="C252" s="46">
        <v>359</v>
      </c>
      <c r="D252" s="46">
        <v>0</v>
      </c>
      <c r="E252" s="46">
        <v>0</v>
      </c>
      <c r="F252" s="46">
        <v>0</v>
      </c>
      <c r="G252" s="46">
        <v>0</v>
      </c>
      <c r="H252" s="46">
        <v>0</v>
      </c>
      <c r="I252" s="46">
        <f t="shared" si="3"/>
        <v>305</v>
      </c>
    </row>
    <row r="253" spans="1:9" x14ac:dyDescent="0.35">
      <c r="A253" t="str">
        <f>"261313"</f>
        <v>261313</v>
      </c>
      <c r="B253" t="s">
        <v>518</v>
      </c>
      <c r="C253" s="46">
        <v>76</v>
      </c>
      <c r="D253" s="46">
        <v>0</v>
      </c>
      <c r="E253" s="46">
        <v>0</v>
      </c>
      <c r="F253" s="46">
        <v>0</v>
      </c>
      <c r="G253" s="46">
        <v>11</v>
      </c>
      <c r="H253" s="46">
        <v>0</v>
      </c>
      <c r="I253" s="46">
        <f t="shared" si="3"/>
        <v>73</v>
      </c>
    </row>
    <row r="254" spans="1:9" x14ac:dyDescent="0.35">
      <c r="A254" t="str">
        <f>"261401"</f>
        <v>261401</v>
      </c>
      <c r="B254" t="s">
        <v>1743</v>
      </c>
      <c r="C254" s="46">
        <v>357</v>
      </c>
      <c r="D254" s="46">
        <v>0</v>
      </c>
      <c r="E254" s="46">
        <v>0</v>
      </c>
      <c r="F254" s="46">
        <v>0</v>
      </c>
      <c r="G254" s="46">
        <v>86</v>
      </c>
      <c r="H254" s="46">
        <v>5</v>
      </c>
      <c r="I254" s="46">
        <f t="shared" si="3"/>
        <v>372</v>
      </c>
    </row>
    <row r="255" spans="1:9" x14ac:dyDescent="0.35">
      <c r="A255" t="str">
        <f>"261501"</f>
        <v>261501</v>
      </c>
      <c r="B255" t="s">
        <v>1744</v>
      </c>
      <c r="C255" s="46">
        <v>269</v>
      </c>
      <c r="D255" s="46">
        <v>0</v>
      </c>
      <c r="E255" s="46">
        <v>1</v>
      </c>
      <c r="F255" s="46">
        <v>0</v>
      </c>
      <c r="G255" s="46">
        <v>0</v>
      </c>
      <c r="H255" s="46">
        <v>8</v>
      </c>
      <c r="I255" s="46">
        <f t="shared" si="3"/>
        <v>222</v>
      </c>
    </row>
    <row r="256" spans="1:9" x14ac:dyDescent="0.35">
      <c r="A256" t="str">
        <f>"261600"</f>
        <v>261600</v>
      </c>
      <c r="B256" t="s">
        <v>1745</v>
      </c>
      <c r="C256" s="46">
        <v>1438</v>
      </c>
      <c r="D256" s="46">
        <v>0</v>
      </c>
      <c r="E256" s="46">
        <v>770</v>
      </c>
      <c r="F256" s="46">
        <v>0</v>
      </c>
      <c r="G256" s="46">
        <v>32</v>
      </c>
      <c r="H256" s="46">
        <v>57</v>
      </c>
      <c r="I256" s="46">
        <f t="shared" si="3"/>
        <v>1855</v>
      </c>
    </row>
    <row r="257" spans="1:9" x14ac:dyDescent="0.35">
      <c r="A257" t="str">
        <f>"261701"</f>
        <v>261701</v>
      </c>
      <c r="B257" t="s">
        <v>1746</v>
      </c>
      <c r="C257" s="46">
        <v>381</v>
      </c>
      <c r="D257" s="46">
        <v>0</v>
      </c>
      <c r="E257" s="46">
        <v>3</v>
      </c>
      <c r="F257" s="46">
        <v>0</v>
      </c>
      <c r="G257" s="46">
        <v>8</v>
      </c>
      <c r="H257" s="46">
        <v>14</v>
      </c>
      <c r="I257" s="46">
        <f t="shared" si="3"/>
        <v>321</v>
      </c>
    </row>
    <row r="258" spans="1:9" x14ac:dyDescent="0.35">
      <c r="A258" t="str">
        <f>"261801"</f>
        <v>261801</v>
      </c>
      <c r="B258" t="s">
        <v>1747</v>
      </c>
      <c r="C258" s="46">
        <v>208</v>
      </c>
      <c r="D258" s="46">
        <v>0</v>
      </c>
      <c r="E258" s="46">
        <v>0</v>
      </c>
      <c r="F258" s="46">
        <v>0</v>
      </c>
      <c r="G258" s="46">
        <v>11</v>
      </c>
      <c r="H258" s="46">
        <v>0</v>
      </c>
      <c r="I258" s="46">
        <f t="shared" ref="I258:I321" si="4">MAX(TRUNC((C258+D258+E258+F258+G258-H258)*0.85,0),0)</f>
        <v>186</v>
      </c>
    </row>
    <row r="259" spans="1:9" x14ac:dyDescent="0.35">
      <c r="A259" t="str">
        <f>"261901"</f>
        <v>261901</v>
      </c>
      <c r="B259" t="s">
        <v>1748</v>
      </c>
      <c r="C259" s="46">
        <v>525</v>
      </c>
      <c r="D259" s="46">
        <v>0</v>
      </c>
      <c r="E259" s="46">
        <v>2</v>
      </c>
      <c r="F259" s="46">
        <v>0</v>
      </c>
      <c r="G259" s="46">
        <v>75</v>
      </c>
      <c r="H259" s="46">
        <v>0</v>
      </c>
      <c r="I259" s="46">
        <f t="shared" si="4"/>
        <v>511</v>
      </c>
    </row>
    <row r="260" spans="1:9" x14ac:dyDescent="0.35">
      <c r="A260" t="str">
        <f>"262001"</f>
        <v>262001</v>
      </c>
      <c r="B260" t="s">
        <v>1749</v>
      </c>
      <c r="C260" s="46">
        <v>53</v>
      </c>
      <c r="D260" s="46">
        <v>0</v>
      </c>
      <c r="E260" s="46">
        <v>0</v>
      </c>
      <c r="F260" s="46">
        <v>0</v>
      </c>
      <c r="G260" s="46">
        <v>0</v>
      </c>
      <c r="H260" s="46">
        <v>0</v>
      </c>
      <c r="I260" s="46">
        <f t="shared" si="4"/>
        <v>45</v>
      </c>
    </row>
    <row r="261" spans="1:9" x14ac:dyDescent="0.35">
      <c r="A261" t="str">
        <f>"270100"</f>
        <v>270100</v>
      </c>
      <c r="B261" t="s">
        <v>1750</v>
      </c>
      <c r="C261" s="46">
        <v>278</v>
      </c>
      <c r="D261" s="46">
        <v>0</v>
      </c>
      <c r="E261" s="46">
        <v>0</v>
      </c>
      <c r="F261" s="46">
        <v>0</v>
      </c>
      <c r="G261" s="46">
        <v>21</v>
      </c>
      <c r="H261" s="46">
        <v>42</v>
      </c>
      <c r="I261" s="46">
        <f t="shared" si="4"/>
        <v>218</v>
      </c>
    </row>
    <row r="262" spans="1:9" x14ac:dyDescent="0.35">
      <c r="A262" t="str">
        <f>"270301"</f>
        <v>270301</v>
      </c>
      <c r="B262" t="s">
        <v>1751</v>
      </c>
      <c r="C262" s="46">
        <v>51</v>
      </c>
      <c r="D262" s="46">
        <v>0</v>
      </c>
      <c r="E262" s="46">
        <v>0</v>
      </c>
      <c r="F262" s="46">
        <v>0</v>
      </c>
      <c r="G262" s="46">
        <v>2</v>
      </c>
      <c r="H262" s="46">
        <v>0</v>
      </c>
      <c r="I262" s="46">
        <f t="shared" si="4"/>
        <v>45</v>
      </c>
    </row>
    <row r="263" spans="1:9" x14ac:dyDescent="0.35">
      <c r="A263" t="str">
        <f>"270601"</f>
        <v>270601</v>
      </c>
      <c r="B263" t="s">
        <v>1752</v>
      </c>
      <c r="C263" s="46">
        <v>91</v>
      </c>
      <c r="D263" s="46">
        <v>0</v>
      </c>
      <c r="E263" s="46">
        <v>0</v>
      </c>
      <c r="F263" s="46">
        <v>0</v>
      </c>
      <c r="G263" s="46">
        <v>0</v>
      </c>
      <c r="H263" s="46">
        <v>0</v>
      </c>
      <c r="I263" s="46">
        <f t="shared" si="4"/>
        <v>77</v>
      </c>
    </row>
    <row r="264" spans="1:9" x14ac:dyDescent="0.35">
      <c r="A264" t="str">
        <f>"270701"</f>
        <v>270701</v>
      </c>
      <c r="B264" t="s">
        <v>1523</v>
      </c>
      <c r="C264" s="46">
        <v>45</v>
      </c>
      <c r="D264" s="46">
        <v>0</v>
      </c>
      <c r="E264" s="46">
        <v>0</v>
      </c>
      <c r="F264" s="46">
        <v>0</v>
      </c>
      <c r="G264" s="46">
        <v>0</v>
      </c>
      <c r="H264" s="46">
        <v>2</v>
      </c>
      <c r="I264" s="46">
        <f t="shared" si="4"/>
        <v>36</v>
      </c>
    </row>
    <row r="265" spans="1:9" x14ac:dyDescent="0.35">
      <c r="A265" t="str">
        <f>"271201"</f>
        <v>271201</v>
      </c>
      <c r="B265" t="s">
        <v>1753</v>
      </c>
      <c r="C265" s="46">
        <v>47</v>
      </c>
      <c r="D265" s="46">
        <v>0</v>
      </c>
      <c r="E265" s="46">
        <v>0</v>
      </c>
      <c r="F265" s="46">
        <v>0</v>
      </c>
      <c r="G265" s="46">
        <v>0</v>
      </c>
      <c r="H265" s="46">
        <v>3</v>
      </c>
      <c r="I265" s="46">
        <f t="shared" si="4"/>
        <v>37</v>
      </c>
    </row>
    <row r="266" spans="1:9" x14ac:dyDescent="0.35">
      <c r="A266" t="str">
        <f>"280100"</f>
        <v>280100</v>
      </c>
      <c r="B266" t="s">
        <v>1754</v>
      </c>
      <c r="C266" s="46">
        <v>218</v>
      </c>
      <c r="D266" s="46">
        <v>0</v>
      </c>
      <c r="E266" s="46">
        <v>0</v>
      </c>
      <c r="F266" s="46">
        <v>0</v>
      </c>
      <c r="G266" s="46">
        <v>24</v>
      </c>
      <c r="H266" s="46">
        <v>16</v>
      </c>
      <c r="I266" s="46">
        <f t="shared" si="4"/>
        <v>192</v>
      </c>
    </row>
    <row r="267" spans="1:9" x14ac:dyDescent="0.35">
      <c r="A267" t="str">
        <f>"280201"</f>
        <v>280201</v>
      </c>
      <c r="B267" t="s">
        <v>1465</v>
      </c>
      <c r="C267" s="46">
        <v>321</v>
      </c>
      <c r="D267" s="46">
        <v>0</v>
      </c>
      <c r="E267" s="46">
        <v>297</v>
      </c>
      <c r="F267" s="46">
        <v>0</v>
      </c>
      <c r="G267" s="46">
        <v>22</v>
      </c>
      <c r="H267" s="46">
        <v>0</v>
      </c>
      <c r="I267" s="46">
        <f t="shared" si="4"/>
        <v>544</v>
      </c>
    </row>
    <row r="268" spans="1:9" x14ac:dyDescent="0.35">
      <c r="A268" t="str">
        <f>"280202"</f>
        <v>280202</v>
      </c>
      <c r="B268" t="s">
        <v>1541</v>
      </c>
      <c r="C268" s="46">
        <v>341</v>
      </c>
      <c r="D268" s="46">
        <v>0</v>
      </c>
      <c r="E268" s="46">
        <v>90</v>
      </c>
      <c r="F268" s="46">
        <v>0</v>
      </c>
      <c r="G268" s="46">
        <v>41</v>
      </c>
      <c r="H268" s="46">
        <v>35</v>
      </c>
      <c r="I268" s="46">
        <f t="shared" si="4"/>
        <v>371</v>
      </c>
    </row>
    <row r="269" spans="1:9" x14ac:dyDescent="0.35">
      <c r="A269" t="str">
        <f>"280203"</f>
        <v>280203</v>
      </c>
      <c r="B269" t="s">
        <v>1755</v>
      </c>
      <c r="C269" s="46">
        <v>558</v>
      </c>
      <c r="D269" s="46">
        <v>0</v>
      </c>
      <c r="E269" s="46">
        <v>4</v>
      </c>
      <c r="F269" s="46">
        <v>0</v>
      </c>
      <c r="G269" s="46">
        <v>0</v>
      </c>
      <c r="H269" s="46">
        <v>0</v>
      </c>
      <c r="I269" s="46">
        <f t="shared" si="4"/>
        <v>477</v>
      </c>
    </row>
    <row r="270" spans="1:9" x14ac:dyDescent="0.35">
      <c r="A270" t="str">
        <f>"280204"</f>
        <v>280204</v>
      </c>
      <c r="B270" t="s">
        <v>553</v>
      </c>
      <c r="C270" s="46">
        <v>257</v>
      </c>
      <c r="D270" s="46">
        <v>0</v>
      </c>
      <c r="E270" s="46">
        <v>0</v>
      </c>
      <c r="F270" s="46">
        <v>0</v>
      </c>
      <c r="G270" s="46">
        <v>0</v>
      </c>
      <c r="H270" s="46">
        <v>20</v>
      </c>
      <c r="I270" s="46">
        <f t="shared" si="4"/>
        <v>201</v>
      </c>
    </row>
    <row r="271" spans="1:9" x14ac:dyDescent="0.35">
      <c r="A271" t="str">
        <f>"280205"</f>
        <v>280205</v>
      </c>
      <c r="B271" t="s">
        <v>1463</v>
      </c>
      <c r="C271" s="46">
        <v>483</v>
      </c>
      <c r="D271" s="46">
        <v>0</v>
      </c>
      <c r="E271" s="46">
        <v>0</v>
      </c>
      <c r="F271" s="46">
        <v>0</v>
      </c>
      <c r="G271" s="46">
        <v>40</v>
      </c>
      <c r="H271" s="46">
        <v>0</v>
      </c>
      <c r="I271" s="46">
        <f t="shared" si="4"/>
        <v>444</v>
      </c>
    </row>
    <row r="272" spans="1:9" x14ac:dyDescent="0.35">
      <c r="A272" t="str">
        <f>"280206"</f>
        <v>280206</v>
      </c>
      <c r="B272" t="s">
        <v>1756</v>
      </c>
      <c r="C272" s="46">
        <v>168</v>
      </c>
      <c r="D272" s="46">
        <v>0</v>
      </c>
      <c r="E272" s="46">
        <v>0</v>
      </c>
      <c r="F272" s="46">
        <v>0</v>
      </c>
      <c r="G272" s="46">
        <v>39</v>
      </c>
      <c r="H272" s="46">
        <v>15</v>
      </c>
      <c r="I272" s="46">
        <f t="shared" si="4"/>
        <v>163</v>
      </c>
    </row>
    <row r="273" spans="1:9" x14ac:dyDescent="0.35">
      <c r="A273" t="str">
        <f>"280207"</f>
        <v>280207</v>
      </c>
      <c r="B273" t="s">
        <v>1757</v>
      </c>
      <c r="C273" s="46">
        <v>126</v>
      </c>
      <c r="D273" s="46">
        <v>0</v>
      </c>
      <c r="E273" s="46">
        <v>0</v>
      </c>
      <c r="F273" s="46">
        <v>0</v>
      </c>
      <c r="G273" s="46">
        <v>39</v>
      </c>
      <c r="H273" s="46">
        <v>0</v>
      </c>
      <c r="I273" s="46">
        <f t="shared" si="4"/>
        <v>140</v>
      </c>
    </row>
    <row r="274" spans="1:9" x14ac:dyDescent="0.35">
      <c r="A274" t="str">
        <f>"280208"</f>
        <v>280208</v>
      </c>
      <c r="B274" t="s">
        <v>1446</v>
      </c>
      <c r="C274" s="46">
        <v>173</v>
      </c>
      <c r="D274" s="46">
        <v>0</v>
      </c>
      <c r="E274" s="46">
        <v>67</v>
      </c>
      <c r="F274" s="46">
        <v>1</v>
      </c>
      <c r="G274" s="46">
        <v>0</v>
      </c>
      <c r="H274" s="46">
        <v>37</v>
      </c>
      <c r="I274" s="46">
        <f t="shared" si="4"/>
        <v>173</v>
      </c>
    </row>
    <row r="275" spans="1:9" x14ac:dyDescent="0.35">
      <c r="A275" t="str">
        <f>"280209"</f>
        <v>280209</v>
      </c>
      <c r="B275" t="s">
        <v>1758</v>
      </c>
      <c r="C275" s="46">
        <v>406</v>
      </c>
      <c r="D275" s="46">
        <v>0</v>
      </c>
      <c r="E275" s="46">
        <v>7</v>
      </c>
      <c r="F275" s="46">
        <v>0</v>
      </c>
      <c r="G275" s="46">
        <v>20</v>
      </c>
      <c r="H275" s="46">
        <v>43</v>
      </c>
      <c r="I275" s="46">
        <f t="shared" si="4"/>
        <v>331</v>
      </c>
    </row>
    <row r="276" spans="1:9" x14ac:dyDescent="0.35">
      <c r="A276" t="str">
        <f>"280210"</f>
        <v>280210</v>
      </c>
      <c r="B276" t="s">
        <v>1759</v>
      </c>
      <c r="C276" s="46">
        <v>275</v>
      </c>
      <c r="D276" s="46">
        <v>0</v>
      </c>
      <c r="E276" s="46">
        <v>3</v>
      </c>
      <c r="F276" s="46">
        <v>0</v>
      </c>
      <c r="G276" s="46">
        <v>0</v>
      </c>
      <c r="H276" s="46">
        <v>18</v>
      </c>
      <c r="I276" s="46">
        <f t="shared" si="4"/>
        <v>221</v>
      </c>
    </row>
    <row r="277" spans="1:9" x14ac:dyDescent="0.35">
      <c r="A277" t="str">
        <f>"280211"</f>
        <v>280211</v>
      </c>
      <c r="B277" t="s">
        <v>1441</v>
      </c>
      <c r="C277" s="46">
        <v>355</v>
      </c>
      <c r="D277" s="46">
        <v>0</v>
      </c>
      <c r="E277" s="46">
        <v>0</v>
      </c>
      <c r="F277" s="46">
        <v>0</v>
      </c>
      <c r="G277" s="46">
        <v>0</v>
      </c>
      <c r="H277" s="46">
        <v>0</v>
      </c>
      <c r="I277" s="46">
        <f t="shared" si="4"/>
        <v>301</v>
      </c>
    </row>
    <row r="278" spans="1:9" x14ac:dyDescent="0.35">
      <c r="A278" t="str">
        <f>"280212"</f>
        <v>280212</v>
      </c>
      <c r="B278" t="s">
        <v>1760</v>
      </c>
      <c r="C278" s="46">
        <v>124</v>
      </c>
      <c r="D278" s="46">
        <v>0</v>
      </c>
      <c r="E278" s="46">
        <v>0</v>
      </c>
      <c r="F278" s="46">
        <v>0</v>
      </c>
      <c r="G278" s="46">
        <v>39</v>
      </c>
      <c r="H278" s="46">
        <v>20</v>
      </c>
      <c r="I278" s="46">
        <f t="shared" si="4"/>
        <v>121</v>
      </c>
    </row>
    <row r="279" spans="1:9" x14ac:dyDescent="0.35">
      <c r="A279" t="str">
        <f>"280213"</f>
        <v>280213</v>
      </c>
      <c r="B279" t="s">
        <v>1761</v>
      </c>
      <c r="C279" s="46">
        <v>247</v>
      </c>
      <c r="D279" s="46">
        <v>0</v>
      </c>
      <c r="E279" s="46">
        <v>0</v>
      </c>
      <c r="F279" s="46">
        <v>0</v>
      </c>
      <c r="G279" s="46">
        <v>5</v>
      </c>
      <c r="H279" s="46">
        <v>0</v>
      </c>
      <c r="I279" s="46">
        <f t="shared" si="4"/>
        <v>214</v>
      </c>
    </row>
    <row r="280" spans="1:9" x14ac:dyDescent="0.35">
      <c r="A280" t="str">
        <f>"280214"</f>
        <v>280214</v>
      </c>
      <c r="B280" t="s">
        <v>1762</v>
      </c>
      <c r="C280" s="46">
        <v>140</v>
      </c>
      <c r="D280" s="46">
        <v>0</v>
      </c>
      <c r="E280" s="46">
        <v>0</v>
      </c>
      <c r="F280" s="46">
        <v>0</v>
      </c>
      <c r="G280" s="46">
        <v>213</v>
      </c>
      <c r="H280" s="46">
        <v>48</v>
      </c>
      <c r="I280" s="46">
        <f t="shared" si="4"/>
        <v>259</v>
      </c>
    </row>
    <row r="281" spans="1:9" x14ac:dyDescent="0.35">
      <c r="A281" t="str">
        <f>"280215"</f>
        <v>280215</v>
      </c>
      <c r="B281" t="s">
        <v>1763</v>
      </c>
      <c r="C281" s="46">
        <v>157</v>
      </c>
      <c r="D281" s="46">
        <v>0</v>
      </c>
      <c r="E281" s="46">
        <v>1</v>
      </c>
      <c r="F281" s="46">
        <v>0</v>
      </c>
      <c r="G281" s="46">
        <v>188</v>
      </c>
      <c r="H281" s="46">
        <v>0</v>
      </c>
      <c r="I281" s="46">
        <f t="shared" si="4"/>
        <v>294</v>
      </c>
    </row>
    <row r="282" spans="1:9" x14ac:dyDescent="0.35">
      <c r="A282" t="str">
        <f>"280216"</f>
        <v>280216</v>
      </c>
      <c r="B282" t="s">
        <v>1764</v>
      </c>
      <c r="C282" s="46">
        <v>424</v>
      </c>
      <c r="D282" s="46">
        <v>0</v>
      </c>
      <c r="E282" s="46">
        <v>4</v>
      </c>
      <c r="F282" s="46">
        <v>0</v>
      </c>
      <c r="G282" s="46">
        <v>26</v>
      </c>
      <c r="H282" s="46">
        <v>80</v>
      </c>
      <c r="I282" s="46">
        <f t="shared" si="4"/>
        <v>317</v>
      </c>
    </row>
    <row r="283" spans="1:9" x14ac:dyDescent="0.35">
      <c r="A283" t="str">
        <f>"280217"</f>
        <v>280217</v>
      </c>
      <c r="B283" t="s">
        <v>579</v>
      </c>
      <c r="C283" s="46">
        <v>249</v>
      </c>
      <c r="D283" s="46">
        <v>0</v>
      </c>
      <c r="E283" s="46">
        <v>0</v>
      </c>
      <c r="F283" s="46">
        <v>0</v>
      </c>
      <c r="G283" s="46">
        <v>0</v>
      </c>
      <c r="H283" s="46">
        <v>0</v>
      </c>
      <c r="I283" s="46">
        <f t="shared" si="4"/>
        <v>211</v>
      </c>
    </row>
    <row r="284" spans="1:9" x14ac:dyDescent="0.35">
      <c r="A284" t="str">
        <f>"280218"</f>
        <v>280218</v>
      </c>
      <c r="B284" t="s">
        <v>1765</v>
      </c>
      <c r="C284" s="46">
        <v>274</v>
      </c>
      <c r="D284" s="46">
        <v>0</v>
      </c>
      <c r="E284" s="46">
        <v>0</v>
      </c>
      <c r="F284" s="46">
        <v>0</v>
      </c>
      <c r="G284" s="46">
        <v>112</v>
      </c>
      <c r="H284" s="46">
        <v>7</v>
      </c>
      <c r="I284" s="46">
        <f t="shared" si="4"/>
        <v>322</v>
      </c>
    </row>
    <row r="285" spans="1:9" x14ac:dyDescent="0.35">
      <c r="A285" t="str">
        <f>"280219"</f>
        <v>280219</v>
      </c>
      <c r="B285" t="s">
        <v>583</v>
      </c>
      <c r="C285" s="46">
        <v>84</v>
      </c>
      <c r="D285" s="46">
        <v>0</v>
      </c>
      <c r="E285" s="46">
        <v>0</v>
      </c>
      <c r="F285" s="46">
        <v>0</v>
      </c>
      <c r="G285" s="46">
        <v>0</v>
      </c>
      <c r="H285" s="46">
        <v>7</v>
      </c>
      <c r="I285" s="46">
        <f t="shared" si="4"/>
        <v>65</v>
      </c>
    </row>
    <row r="286" spans="1:9" x14ac:dyDescent="0.35">
      <c r="A286" t="str">
        <f>"280220"</f>
        <v>280220</v>
      </c>
      <c r="B286" t="s">
        <v>1766</v>
      </c>
      <c r="C286" s="46">
        <v>183</v>
      </c>
      <c r="D286" s="46">
        <v>0</v>
      </c>
      <c r="E286" s="46">
        <v>0</v>
      </c>
      <c r="F286" s="46">
        <v>0</v>
      </c>
      <c r="G286" s="46">
        <v>20</v>
      </c>
      <c r="H286" s="46">
        <v>0</v>
      </c>
      <c r="I286" s="46">
        <f t="shared" si="4"/>
        <v>172</v>
      </c>
    </row>
    <row r="287" spans="1:9" x14ac:dyDescent="0.35">
      <c r="A287" t="str">
        <f>"280221"</f>
        <v>280221</v>
      </c>
      <c r="B287" t="s">
        <v>587</v>
      </c>
      <c r="C287" s="46">
        <v>247</v>
      </c>
      <c r="D287" s="46">
        <v>0</v>
      </c>
      <c r="E287" s="46">
        <v>0</v>
      </c>
      <c r="F287" s="46">
        <v>0</v>
      </c>
      <c r="G287" s="46">
        <v>67</v>
      </c>
      <c r="H287" s="46">
        <v>0</v>
      </c>
      <c r="I287" s="46">
        <f t="shared" si="4"/>
        <v>266</v>
      </c>
    </row>
    <row r="288" spans="1:9" x14ac:dyDescent="0.35">
      <c r="A288" t="str">
        <f>"280222"</f>
        <v>280222</v>
      </c>
      <c r="B288" t="s">
        <v>1767</v>
      </c>
      <c r="C288" s="46">
        <v>199</v>
      </c>
      <c r="D288" s="46">
        <v>0</v>
      </c>
      <c r="E288" s="46">
        <v>0</v>
      </c>
      <c r="F288" s="46">
        <v>0</v>
      </c>
      <c r="G288" s="46">
        <v>37</v>
      </c>
      <c r="H288" s="46">
        <v>16</v>
      </c>
      <c r="I288" s="46">
        <f t="shared" si="4"/>
        <v>187</v>
      </c>
    </row>
    <row r="289" spans="1:9" x14ac:dyDescent="0.35">
      <c r="A289" t="str">
        <f>"280223"</f>
        <v>280223</v>
      </c>
      <c r="B289" t="s">
        <v>1768</v>
      </c>
      <c r="C289" s="46">
        <v>208</v>
      </c>
      <c r="D289" s="46">
        <v>0</v>
      </c>
      <c r="E289" s="46">
        <v>0</v>
      </c>
      <c r="F289" s="46">
        <v>0</v>
      </c>
      <c r="G289" s="46">
        <v>0</v>
      </c>
      <c r="H289" s="46">
        <v>0</v>
      </c>
      <c r="I289" s="46">
        <f t="shared" si="4"/>
        <v>176</v>
      </c>
    </row>
    <row r="290" spans="1:9" x14ac:dyDescent="0.35">
      <c r="A290" t="str">
        <f>"280224"</f>
        <v>280224</v>
      </c>
      <c r="B290" t="s">
        <v>1761</v>
      </c>
      <c r="C290" s="46">
        <v>122</v>
      </c>
      <c r="D290" s="46">
        <v>0</v>
      </c>
      <c r="E290" s="46">
        <v>0</v>
      </c>
      <c r="F290" s="46">
        <v>0</v>
      </c>
      <c r="G290" s="46">
        <v>24</v>
      </c>
      <c r="H290" s="46">
        <v>16</v>
      </c>
      <c r="I290" s="46">
        <f t="shared" si="4"/>
        <v>110</v>
      </c>
    </row>
    <row r="291" spans="1:9" x14ac:dyDescent="0.35">
      <c r="A291" t="str">
        <f>"280225"</f>
        <v>280225</v>
      </c>
      <c r="B291" t="s">
        <v>1769</v>
      </c>
      <c r="C291" s="46">
        <v>233</v>
      </c>
      <c r="D291" s="46">
        <v>0</v>
      </c>
      <c r="E291" s="46">
        <v>0</v>
      </c>
      <c r="F291" s="46">
        <v>0</v>
      </c>
      <c r="G291" s="46">
        <v>10</v>
      </c>
      <c r="H291" s="46">
        <v>0</v>
      </c>
      <c r="I291" s="46">
        <f t="shared" si="4"/>
        <v>206</v>
      </c>
    </row>
    <row r="292" spans="1:9" x14ac:dyDescent="0.35">
      <c r="A292" t="str">
        <f>"280226"</f>
        <v>280226</v>
      </c>
      <c r="B292" t="s">
        <v>1770</v>
      </c>
      <c r="C292" s="46">
        <v>131</v>
      </c>
      <c r="D292" s="46">
        <v>0</v>
      </c>
      <c r="E292" s="46">
        <v>0</v>
      </c>
      <c r="F292" s="46">
        <v>0</v>
      </c>
      <c r="G292" s="46">
        <v>0</v>
      </c>
      <c r="H292" s="46">
        <v>13</v>
      </c>
      <c r="I292" s="46">
        <f t="shared" si="4"/>
        <v>100</v>
      </c>
    </row>
    <row r="293" spans="1:9" x14ac:dyDescent="0.35">
      <c r="A293" t="str">
        <f>"280227"</f>
        <v>280227</v>
      </c>
      <c r="B293" t="s">
        <v>599</v>
      </c>
      <c r="C293" s="46">
        <v>96</v>
      </c>
      <c r="D293" s="46">
        <v>0</v>
      </c>
      <c r="E293" s="46">
        <v>2</v>
      </c>
      <c r="F293" s="46">
        <v>0</v>
      </c>
      <c r="G293" s="46">
        <v>40</v>
      </c>
      <c r="H293" s="46">
        <v>14</v>
      </c>
      <c r="I293" s="46">
        <f t="shared" si="4"/>
        <v>105</v>
      </c>
    </row>
    <row r="294" spans="1:9" x14ac:dyDescent="0.35">
      <c r="A294" t="str">
        <f>"280229"</f>
        <v>280229</v>
      </c>
      <c r="B294" t="s">
        <v>601</v>
      </c>
      <c r="C294" s="46">
        <v>177</v>
      </c>
      <c r="D294" s="46">
        <v>0</v>
      </c>
      <c r="E294" s="46">
        <v>0</v>
      </c>
      <c r="F294" s="46">
        <v>0</v>
      </c>
      <c r="G294" s="46">
        <v>6</v>
      </c>
      <c r="H294" s="46">
        <v>12</v>
      </c>
      <c r="I294" s="46">
        <f t="shared" si="4"/>
        <v>145</v>
      </c>
    </row>
    <row r="295" spans="1:9" x14ac:dyDescent="0.35">
      <c r="A295" t="str">
        <f>"280230"</f>
        <v>280230</v>
      </c>
      <c r="B295" t="s">
        <v>1761</v>
      </c>
      <c r="C295" s="46">
        <v>176</v>
      </c>
      <c r="D295" s="46">
        <v>0</v>
      </c>
      <c r="E295" s="46">
        <v>0</v>
      </c>
      <c r="F295" s="46">
        <v>0</v>
      </c>
      <c r="G295" s="46">
        <v>0</v>
      </c>
      <c r="H295" s="46">
        <v>0</v>
      </c>
      <c r="I295" s="46">
        <f t="shared" si="4"/>
        <v>149</v>
      </c>
    </row>
    <row r="296" spans="1:9" x14ac:dyDescent="0.35">
      <c r="A296" t="str">
        <f>"280231"</f>
        <v>280231</v>
      </c>
      <c r="B296" t="s">
        <v>1771</v>
      </c>
      <c r="C296" s="46">
        <v>70</v>
      </c>
      <c r="D296" s="46">
        <v>0</v>
      </c>
      <c r="E296" s="46">
        <v>0</v>
      </c>
      <c r="F296" s="46">
        <v>0</v>
      </c>
      <c r="G296" s="46">
        <v>0</v>
      </c>
      <c r="H296" s="46">
        <v>9</v>
      </c>
      <c r="I296" s="46">
        <f t="shared" si="4"/>
        <v>51</v>
      </c>
    </row>
    <row r="297" spans="1:9" x14ac:dyDescent="0.35">
      <c r="A297" t="str">
        <f>"280251"</f>
        <v>280251</v>
      </c>
      <c r="B297" t="s">
        <v>1761</v>
      </c>
      <c r="C297" s="46">
        <v>0</v>
      </c>
      <c r="D297" s="46">
        <v>0</v>
      </c>
      <c r="E297" s="46">
        <v>0</v>
      </c>
      <c r="F297" s="46">
        <v>0</v>
      </c>
      <c r="G297" s="46">
        <v>0</v>
      </c>
      <c r="H297" s="46">
        <v>0</v>
      </c>
      <c r="I297" s="46">
        <f t="shared" si="4"/>
        <v>0</v>
      </c>
    </row>
    <row r="298" spans="1:9" x14ac:dyDescent="0.35">
      <c r="A298" t="str">
        <f>"280252"</f>
        <v>280252</v>
      </c>
      <c r="B298" t="s">
        <v>1772</v>
      </c>
      <c r="C298" s="46">
        <v>0</v>
      </c>
      <c r="D298" s="46">
        <v>0</v>
      </c>
      <c r="E298" s="46">
        <v>0</v>
      </c>
      <c r="F298" s="46">
        <v>0</v>
      </c>
      <c r="G298" s="46">
        <v>0</v>
      </c>
      <c r="H298" s="46">
        <v>0</v>
      </c>
      <c r="I298" s="46">
        <f t="shared" si="4"/>
        <v>0</v>
      </c>
    </row>
    <row r="299" spans="1:9" x14ac:dyDescent="0.35">
      <c r="A299" t="str">
        <f>"280253"</f>
        <v>280253</v>
      </c>
      <c r="B299" t="s">
        <v>611</v>
      </c>
      <c r="C299" s="46">
        <v>0</v>
      </c>
      <c r="D299" s="46">
        <v>0</v>
      </c>
      <c r="E299" s="46">
        <v>0</v>
      </c>
      <c r="F299" s="46">
        <v>0</v>
      </c>
      <c r="G299" s="46">
        <v>0</v>
      </c>
      <c r="H299" s="46">
        <v>0</v>
      </c>
      <c r="I299" s="46">
        <f t="shared" si="4"/>
        <v>0</v>
      </c>
    </row>
    <row r="300" spans="1:9" x14ac:dyDescent="0.35">
      <c r="A300" t="str">
        <f>"280300"</f>
        <v>280300</v>
      </c>
      <c r="B300" t="s">
        <v>1773</v>
      </c>
      <c r="C300" s="46">
        <v>247</v>
      </c>
      <c r="D300" s="46">
        <v>0</v>
      </c>
      <c r="E300" s="46">
        <v>4</v>
      </c>
      <c r="F300" s="46">
        <v>0</v>
      </c>
      <c r="G300" s="46">
        <v>22</v>
      </c>
      <c r="H300" s="46">
        <v>13</v>
      </c>
      <c r="I300" s="46">
        <f t="shared" si="4"/>
        <v>221</v>
      </c>
    </row>
    <row r="301" spans="1:9" x14ac:dyDescent="0.35">
      <c r="A301" t="str">
        <f>"280401"</f>
        <v>280401</v>
      </c>
      <c r="B301" t="s">
        <v>1774</v>
      </c>
      <c r="C301" s="46">
        <v>286</v>
      </c>
      <c r="D301" s="46">
        <v>0</v>
      </c>
      <c r="E301" s="46">
        <v>8</v>
      </c>
      <c r="F301" s="46">
        <v>0</v>
      </c>
      <c r="G301" s="46">
        <v>105</v>
      </c>
      <c r="H301" s="46">
        <v>25</v>
      </c>
      <c r="I301" s="46">
        <f t="shared" si="4"/>
        <v>317</v>
      </c>
    </row>
    <row r="302" spans="1:9" x14ac:dyDescent="0.35">
      <c r="A302" t="str">
        <f>"280402"</f>
        <v>280402</v>
      </c>
      <c r="B302" t="s">
        <v>617</v>
      </c>
      <c r="C302" s="46">
        <v>102</v>
      </c>
      <c r="D302" s="46">
        <v>0</v>
      </c>
      <c r="E302" s="46">
        <v>0</v>
      </c>
      <c r="F302" s="46">
        <v>0</v>
      </c>
      <c r="G302" s="46">
        <v>0</v>
      </c>
      <c r="H302" s="46">
        <v>6</v>
      </c>
      <c r="I302" s="46">
        <f t="shared" si="4"/>
        <v>81</v>
      </c>
    </row>
    <row r="303" spans="1:9" x14ac:dyDescent="0.35">
      <c r="A303" t="str">
        <f>"280403"</f>
        <v>280403</v>
      </c>
      <c r="B303" t="s">
        <v>1775</v>
      </c>
      <c r="C303" s="46">
        <v>200</v>
      </c>
      <c r="D303" s="46">
        <v>0</v>
      </c>
      <c r="E303" s="46">
        <v>0</v>
      </c>
      <c r="F303" s="46">
        <v>0</v>
      </c>
      <c r="G303" s="46">
        <v>0</v>
      </c>
      <c r="H303" s="46">
        <v>15</v>
      </c>
      <c r="I303" s="46">
        <f t="shared" si="4"/>
        <v>157</v>
      </c>
    </row>
    <row r="304" spans="1:9" x14ac:dyDescent="0.35">
      <c r="A304" t="str">
        <f>"280404"</f>
        <v>280404</v>
      </c>
      <c r="B304" t="s">
        <v>621</v>
      </c>
      <c r="C304" s="46">
        <v>429</v>
      </c>
      <c r="D304" s="46">
        <v>0</v>
      </c>
      <c r="E304" s="46">
        <v>0</v>
      </c>
      <c r="F304" s="46">
        <v>0</v>
      </c>
      <c r="G304" s="46">
        <v>8</v>
      </c>
      <c r="H304" s="46">
        <v>8</v>
      </c>
      <c r="I304" s="46">
        <f t="shared" si="4"/>
        <v>364</v>
      </c>
    </row>
    <row r="305" spans="1:9" x14ac:dyDescent="0.35">
      <c r="A305" t="str">
        <f>"280405"</f>
        <v>280405</v>
      </c>
      <c r="B305" t="s">
        <v>1776</v>
      </c>
      <c r="C305" s="46">
        <v>203</v>
      </c>
      <c r="D305" s="46">
        <v>0</v>
      </c>
      <c r="E305" s="46">
        <v>0</v>
      </c>
      <c r="F305" s="46">
        <v>0</v>
      </c>
      <c r="G305" s="46">
        <v>29</v>
      </c>
      <c r="H305" s="46">
        <v>16</v>
      </c>
      <c r="I305" s="46">
        <f t="shared" si="4"/>
        <v>183</v>
      </c>
    </row>
    <row r="306" spans="1:9" x14ac:dyDescent="0.35">
      <c r="A306" t="str">
        <f>"280406"</f>
        <v>280406</v>
      </c>
      <c r="B306" t="s">
        <v>1533</v>
      </c>
      <c r="C306" s="46">
        <v>153</v>
      </c>
      <c r="D306" s="46">
        <v>0</v>
      </c>
      <c r="E306" s="46">
        <v>0</v>
      </c>
      <c r="F306" s="46">
        <v>0</v>
      </c>
      <c r="G306" s="46">
        <v>50</v>
      </c>
      <c r="H306" s="46">
        <v>0</v>
      </c>
      <c r="I306" s="46">
        <f t="shared" si="4"/>
        <v>172</v>
      </c>
    </row>
    <row r="307" spans="1:9" x14ac:dyDescent="0.35">
      <c r="A307" t="str">
        <f>"280407"</f>
        <v>280407</v>
      </c>
      <c r="B307" t="s">
        <v>1777</v>
      </c>
      <c r="C307" s="46">
        <v>343</v>
      </c>
      <c r="D307" s="46">
        <v>0</v>
      </c>
      <c r="E307" s="46">
        <v>0</v>
      </c>
      <c r="F307" s="46">
        <v>0</v>
      </c>
      <c r="G307" s="46">
        <v>137</v>
      </c>
      <c r="H307" s="46">
        <v>40</v>
      </c>
      <c r="I307" s="46">
        <f t="shared" si="4"/>
        <v>374</v>
      </c>
    </row>
    <row r="308" spans="1:9" x14ac:dyDescent="0.35">
      <c r="A308" t="str">
        <f>"280409"</f>
        <v>280409</v>
      </c>
      <c r="B308" t="s">
        <v>1778</v>
      </c>
      <c r="C308" s="46">
        <v>230</v>
      </c>
      <c r="D308" s="46">
        <v>0</v>
      </c>
      <c r="E308" s="46">
        <v>0</v>
      </c>
      <c r="F308" s="46">
        <v>0</v>
      </c>
      <c r="G308" s="46">
        <v>50</v>
      </c>
      <c r="H308" s="46">
        <v>0</v>
      </c>
      <c r="I308" s="46">
        <f t="shared" si="4"/>
        <v>238</v>
      </c>
    </row>
    <row r="309" spans="1:9" x14ac:dyDescent="0.35">
      <c r="A309" t="str">
        <f>"280410"</f>
        <v>280410</v>
      </c>
      <c r="B309" t="s">
        <v>1779</v>
      </c>
      <c r="C309" s="46">
        <v>215</v>
      </c>
      <c r="D309" s="46">
        <v>0</v>
      </c>
      <c r="E309" s="46">
        <v>0</v>
      </c>
      <c r="F309" s="46">
        <v>0</v>
      </c>
      <c r="G309" s="46">
        <v>18</v>
      </c>
      <c r="H309" s="46">
        <v>0</v>
      </c>
      <c r="I309" s="46">
        <f t="shared" si="4"/>
        <v>198</v>
      </c>
    </row>
    <row r="310" spans="1:9" x14ac:dyDescent="0.35">
      <c r="A310" t="str">
        <f>"280411"</f>
        <v>280411</v>
      </c>
      <c r="B310" t="s">
        <v>1780</v>
      </c>
      <c r="C310" s="46">
        <v>100</v>
      </c>
      <c r="D310" s="46">
        <v>0</v>
      </c>
      <c r="E310" s="46">
        <v>0</v>
      </c>
      <c r="F310" s="46">
        <v>0</v>
      </c>
      <c r="G310" s="46">
        <v>0</v>
      </c>
      <c r="H310" s="46">
        <v>0</v>
      </c>
      <c r="I310" s="46">
        <f t="shared" si="4"/>
        <v>85</v>
      </c>
    </row>
    <row r="311" spans="1:9" x14ac:dyDescent="0.35">
      <c r="A311" t="str">
        <f>"280501"</f>
        <v>280501</v>
      </c>
      <c r="B311" t="s">
        <v>1781</v>
      </c>
      <c r="C311" s="46">
        <v>166</v>
      </c>
      <c r="D311" s="46">
        <v>0</v>
      </c>
      <c r="E311" s="46">
        <v>0</v>
      </c>
      <c r="F311" s="46">
        <v>0</v>
      </c>
      <c r="G311" s="46">
        <v>39</v>
      </c>
      <c r="H311" s="46">
        <v>7</v>
      </c>
      <c r="I311" s="46">
        <f t="shared" si="4"/>
        <v>168</v>
      </c>
    </row>
    <row r="312" spans="1:9" x14ac:dyDescent="0.35">
      <c r="A312" t="str">
        <f>"280502"</f>
        <v>280502</v>
      </c>
      <c r="B312" t="s">
        <v>1782</v>
      </c>
      <c r="C312" s="46">
        <v>397</v>
      </c>
      <c r="D312" s="46">
        <v>0</v>
      </c>
      <c r="E312" s="46">
        <v>0</v>
      </c>
      <c r="F312" s="46">
        <v>0</v>
      </c>
      <c r="G312" s="46">
        <v>22</v>
      </c>
      <c r="H312" s="46">
        <v>13</v>
      </c>
      <c r="I312" s="46">
        <f t="shared" si="4"/>
        <v>345</v>
      </c>
    </row>
    <row r="313" spans="1:9" x14ac:dyDescent="0.35">
      <c r="A313" t="str">
        <f>"280503"</f>
        <v>280503</v>
      </c>
      <c r="B313" t="s">
        <v>639</v>
      </c>
      <c r="C313" s="46">
        <v>125</v>
      </c>
      <c r="D313" s="46">
        <v>0</v>
      </c>
      <c r="E313" s="46">
        <v>0</v>
      </c>
      <c r="F313" s="46">
        <v>0</v>
      </c>
      <c r="G313" s="46">
        <v>12</v>
      </c>
      <c r="H313" s="46">
        <v>14</v>
      </c>
      <c r="I313" s="46">
        <f t="shared" si="4"/>
        <v>104</v>
      </c>
    </row>
    <row r="314" spans="1:9" x14ac:dyDescent="0.35">
      <c r="A314" t="str">
        <f>"280504"</f>
        <v>280504</v>
      </c>
      <c r="B314" t="s">
        <v>1783</v>
      </c>
      <c r="C314" s="46">
        <v>382</v>
      </c>
      <c r="D314" s="46">
        <v>0</v>
      </c>
      <c r="E314" s="46">
        <v>0</v>
      </c>
      <c r="F314" s="46">
        <v>0</v>
      </c>
      <c r="G314" s="46">
        <v>14</v>
      </c>
      <c r="H314" s="46">
        <v>0</v>
      </c>
      <c r="I314" s="46">
        <f t="shared" si="4"/>
        <v>336</v>
      </c>
    </row>
    <row r="315" spans="1:9" x14ac:dyDescent="0.35">
      <c r="A315" t="str">
        <f>"280506"</f>
        <v>280506</v>
      </c>
      <c r="B315" t="s">
        <v>1784</v>
      </c>
      <c r="C315" s="46">
        <v>89</v>
      </c>
      <c r="D315" s="46">
        <v>0</v>
      </c>
      <c r="E315" s="46">
        <v>0</v>
      </c>
      <c r="F315" s="46">
        <v>0</v>
      </c>
      <c r="G315" s="46">
        <v>29</v>
      </c>
      <c r="H315" s="46">
        <v>0</v>
      </c>
      <c r="I315" s="46">
        <f t="shared" si="4"/>
        <v>100</v>
      </c>
    </row>
    <row r="316" spans="1:9" x14ac:dyDescent="0.35">
      <c r="A316" t="str">
        <f>"280515"</f>
        <v>280515</v>
      </c>
      <c r="B316" t="s">
        <v>1785</v>
      </c>
      <c r="C316" s="46">
        <v>140</v>
      </c>
      <c r="D316" s="46">
        <v>0</v>
      </c>
      <c r="E316" s="46">
        <v>0</v>
      </c>
      <c r="F316" s="46">
        <v>0</v>
      </c>
      <c r="G316" s="46">
        <v>0</v>
      </c>
      <c r="H316" s="46">
        <v>0</v>
      </c>
      <c r="I316" s="46">
        <f t="shared" si="4"/>
        <v>119</v>
      </c>
    </row>
    <row r="317" spans="1:9" x14ac:dyDescent="0.35">
      <c r="A317" t="str">
        <f>"280517"</f>
        <v>280517</v>
      </c>
      <c r="B317" t="s">
        <v>1786</v>
      </c>
      <c r="C317" s="46">
        <v>385</v>
      </c>
      <c r="D317" s="46">
        <v>0</v>
      </c>
      <c r="E317" s="46">
        <v>2</v>
      </c>
      <c r="F317" s="46">
        <v>0</v>
      </c>
      <c r="G317" s="46">
        <v>35</v>
      </c>
      <c r="H317" s="46">
        <v>31</v>
      </c>
      <c r="I317" s="46">
        <f t="shared" si="4"/>
        <v>332</v>
      </c>
    </row>
    <row r="318" spans="1:9" x14ac:dyDescent="0.35">
      <c r="A318" t="str">
        <f>"280518"</f>
        <v>280518</v>
      </c>
      <c r="B318" t="s">
        <v>1470</v>
      </c>
      <c r="C318" s="46">
        <v>203</v>
      </c>
      <c r="D318" s="46">
        <v>0</v>
      </c>
      <c r="E318" s="46">
        <v>0</v>
      </c>
      <c r="F318" s="46">
        <v>0</v>
      </c>
      <c r="G318" s="46">
        <v>29</v>
      </c>
      <c r="H318" s="46">
        <v>13</v>
      </c>
      <c r="I318" s="46">
        <f t="shared" si="4"/>
        <v>186</v>
      </c>
    </row>
    <row r="319" spans="1:9" x14ac:dyDescent="0.35">
      <c r="A319" t="str">
        <f>"280521"</f>
        <v>280521</v>
      </c>
      <c r="B319" t="s">
        <v>1787</v>
      </c>
      <c r="C319" s="46">
        <v>179</v>
      </c>
      <c r="D319" s="46">
        <v>0</v>
      </c>
      <c r="E319" s="46">
        <v>0</v>
      </c>
      <c r="F319" s="46">
        <v>0</v>
      </c>
      <c r="G319" s="46">
        <v>0</v>
      </c>
      <c r="H319" s="46">
        <v>6</v>
      </c>
      <c r="I319" s="46">
        <f t="shared" si="4"/>
        <v>147</v>
      </c>
    </row>
    <row r="320" spans="1:9" x14ac:dyDescent="0.35">
      <c r="A320" t="str">
        <f>"280522"</f>
        <v>280522</v>
      </c>
      <c r="B320" t="s">
        <v>1788</v>
      </c>
      <c r="C320" s="46">
        <v>355</v>
      </c>
      <c r="D320" s="46">
        <v>0</v>
      </c>
      <c r="E320" s="46">
        <v>1</v>
      </c>
      <c r="F320" s="46">
        <v>0</v>
      </c>
      <c r="G320" s="46">
        <v>7</v>
      </c>
      <c r="H320" s="46">
        <v>18</v>
      </c>
      <c r="I320" s="46">
        <f t="shared" si="4"/>
        <v>293</v>
      </c>
    </row>
    <row r="321" spans="1:9" x14ac:dyDescent="0.35">
      <c r="A321" t="str">
        <f>"280523"</f>
        <v>280523</v>
      </c>
      <c r="B321" t="s">
        <v>1789</v>
      </c>
      <c r="C321" s="46">
        <v>498</v>
      </c>
      <c r="D321" s="46">
        <v>0</v>
      </c>
      <c r="E321" s="46">
        <v>0</v>
      </c>
      <c r="F321" s="46">
        <v>0</v>
      </c>
      <c r="G321" s="46">
        <v>20</v>
      </c>
      <c r="H321" s="46">
        <v>0</v>
      </c>
      <c r="I321" s="46">
        <f t="shared" si="4"/>
        <v>440</v>
      </c>
    </row>
    <row r="322" spans="1:9" x14ac:dyDescent="0.35">
      <c r="A322" t="str">
        <f>"300000"</f>
        <v>300000</v>
      </c>
      <c r="B322" t="s">
        <v>1790</v>
      </c>
      <c r="C322" s="46">
        <v>53961</v>
      </c>
      <c r="D322" s="46">
        <v>0</v>
      </c>
      <c r="E322" s="46">
        <v>11688</v>
      </c>
      <c r="F322" s="46">
        <v>0</v>
      </c>
      <c r="G322" s="46">
        <v>17465</v>
      </c>
      <c r="H322" s="46">
        <v>7990</v>
      </c>
      <c r="I322" s="46">
        <f t="shared" ref="I322:I385" si="5">MAX(TRUNC((C322+D322+E322+F322+G322-H322)*0.85,0),0)</f>
        <v>63855</v>
      </c>
    </row>
    <row r="323" spans="1:9" x14ac:dyDescent="0.35">
      <c r="A323" t="str">
        <f>"400301"</f>
        <v>400301</v>
      </c>
      <c r="B323" t="s">
        <v>1791</v>
      </c>
      <c r="C323" s="46">
        <v>117</v>
      </c>
      <c r="D323" s="46">
        <v>0</v>
      </c>
      <c r="E323" s="46">
        <v>1</v>
      </c>
      <c r="F323" s="46">
        <v>0</v>
      </c>
      <c r="G323" s="46">
        <v>47</v>
      </c>
      <c r="H323" s="46">
        <v>4</v>
      </c>
      <c r="I323" s="46">
        <f t="shared" si="5"/>
        <v>136</v>
      </c>
    </row>
    <row r="324" spans="1:9" x14ac:dyDescent="0.35">
      <c r="A324" t="str">
        <f>"400400"</f>
        <v>400400</v>
      </c>
      <c r="B324" t="s">
        <v>1792</v>
      </c>
      <c r="C324" s="46">
        <v>321</v>
      </c>
      <c r="D324" s="46">
        <v>0</v>
      </c>
      <c r="E324" s="46">
        <v>1</v>
      </c>
      <c r="F324" s="46">
        <v>0</v>
      </c>
      <c r="G324" s="46">
        <v>21</v>
      </c>
      <c r="H324" s="46">
        <v>30</v>
      </c>
      <c r="I324" s="46">
        <f t="shared" si="5"/>
        <v>266</v>
      </c>
    </row>
    <row r="325" spans="1:9" x14ac:dyDescent="0.35">
      <c r="A325" t="str">
        <f>"400601"</f>
        <v>400601</v>
      </c>
      <c r="B325" t="s">
        <v>1793</v>
      </c>
      <c r="C325" s="46">
        <v>102</v>
      </c>
      <c r="D325" s="46">
        <v>0</v>
      </c>
      <c r="E325" s="46">
        <v>0</v>
      </c>
      <c r="F325" s="46">
        <v>0</v>
      </c>
      <c r="G325" s="46">
        <v>0</v>
      </c>
      <c r="H325" s="46">
        <v>7</v>
      </c>
      <c r="I325" s="46">
        <f t="shared" si="5"/>
        <v>80</v>
      </c>
    </row>
    <row r="326" spans="1:9" x14ac:dyDescent="0.35">
      <c r="A326" t="str">
        <f>"400701"</f>
        <v>400701</v>
      </c>
      <c r="B326" t="s">
        <v>1794</v>
      </c>
      <c r="C326" s="46">
        <v>191</v>
      </c>
      <c r="D326" s="46">
        <v>0</v>
      </c>
      <c r="E326" s="46">
        <v>2</v>
      </c>
      <c r="F326" s="46">
        <v>0</v>
      </c>
      <c r="G326" s="46">
        <v>40</v>
      </c>
      <c r="H326" s="46">
        <v>0</v>
      </c>
      <c r="I326" s="46">
        <f t="shared" si="5"/>
        <v>198</v>
      </c>
    </row>
    <row r="327" spans="1:9" x14ac:dyDescent="0.35">
      <c r="A327" t="str">
        <f>"400800"</f>
        <v>400800</v>
      </c>
      <c r="B327" t="s">
        <v>667</v>
      </c>
      <c r="C327" s="46">
        <v>446</v>
      </c>
      <c r="D327" s="46">
        <v>0</v>
      </c>
      <c r="E327" s="46">
        <v>50</v>
      </c>
      <c r="F327" s="46">
        <v>0</v>
      </c>
      <c r="G327" s="46">
        <v>15</v>
      </c>
      <c r="H327" s="46">
        <v>4</v>
      </c>
      <c r="I327" s="46">
        <f t="shared" si="5"/>
        <v>430</v>
      </c>
    </row>
    <row r="328" spans="1:9" x14ac:dyDescent="0.35">
      <c r="A328" t="str">
        <f>"400900"</f>
        <v>400900</v>
      </c>
      <c r="B328" t="s">
        <v>1795</v>
      </c>
      <c r="C328" s="46">
        <v>224</v>
      </c>
      <c r="D328" s="46">
        <v>0</v>
      </c>
      <c r="E328" s="46">
        <v>0</v>
      </c>
      <c r="F328" s="46">
        <v>0</v>
      </c>
      <c r="G328" s="46">
        <v>1</v>
      </c>
      <c r="H328" s="46">
        <v>19</v>
      </c>
      <c r="I328" s="46">
        <f t="shared" si="5"/>
        <v>175</v>
      </c>
    </row>
    <row r="329" spans="1:9" x14ac:dyDescent="0.35">
      <c r="A329" t="str">
        <f>"401001"</f>
        <v>401001</v>
      </c>
      <c r="B329" t="s">
        <v>1796</v>
      </c>
      <c r="C329" s="46">
        <v>201</v>
      </c>
      <c r="D329" s="46">
        <v>0</v>
      </c>
      <c r="E329" s="46">
        <v>0</v>
      </c>
      <c r="F329" s="46">
        <v>0</v>
      </c>
      <c r="G329" s="46">
        <v>0</v>
      </c>
      <c r="H329" s="46">
        <v>3</v>
      </c>
      <c r="I329" s="46">
        <f t="shared" si="5"/>
        <v>168</v>
      </c>
    </row>
    <row r="330" spans="1:9" x14ac:dyDescent="0.35">
      <c r="A330" t="str">
        <f>"401201"</f>
        <v>401201</v>
      </c>
      <c r="B330" t="s">
        <v>1797</v>
      </c>
      <c r="C330" s="46">
        <v>68</v>
      </c>
      <c r="D330" s="46">
        <v>0</v>
      </c>
      <c r="E330" s="46">
        <v>0</v>
      </c>
      <c r="F330" s="46">
        <v>0</v>
      </c>
      <c r="G330" s="46">
        <v>0</v>
      </c>
      <c r="H330" s="46">
        <v>0</v>
      </c>
      <c r="I330" s="46">
        <f t="shared" si="5"/>
        <v>57</v>
      </c>
    </row>
    <row r="331" spans="1:9" x14ac:dyDescent="0.35">
      <c r="A331" t="str">
        <f>"401301"</f>
        <v>401301</v>
      </c>
      <c r="B331" t="s">
        <v>1798</v>
      </c>
      <c r="C331" s="46">
        <v>39</v>
      </c>
      <c r="D331" s="46">
        <v>0</v>
      </c>
      <c r="E331" s="46">
        <v>0</v>
      </c>
      <c r="F331" s="46">
        <v>0</v>
      </c>
      <c r="G331" s="46">
        <v>0</v>
      </c>
      <c r="H331" s="46">
        <v>0</v>
      </c>
      <c r="I331" s="46">
        <f t="shared" si="5"/>
        <v>33</v>
      </c>
    </row>
    <row r="332" spans="1:9" x14ac:dyDescent="0.35">
      <c r="A332" t="str">
        <f>"401501"</f>
        <v>401501</v>
      </c>
      <c r="B332" t="s">
        <v>1799</v>
      </c>
      <c r="C332" s="46">
        <v>81</v>
      </c>
      <c r="D332" s="46">
        <v>0</v>
      </c>
      <c r="E332" s="46">
        <v>0</v>
      </c>
      <c r="F332" s="46">
        <v>0</v>
      </c>
      <c r="G332" s="46">
        <v>0</v>
      </c>
      <c r="H332" s="46">
        <v>0</v>
      </c>
      <c r="I332" s="46">
        <f t="shared" si="5"/>
        <v>68</v>
      </c>
    </row>
    <row r="333" spans="1:9" x14ac:dyDescent="0.35">
      <c r="A333" t="str">
        <f>"410401"</f>
        <v>410401</v>
      </c>
      <c r="B333" t="s">
        <v>1504</v>
      </c>
      <c r="C333" s="46">
        <v>78</v>
      </c>
      <c r="D333" s="46">
        <v>0</v>
      </c>
      <c r="E333" s="46">
        <v>0</v>
      </c>
      <c r="F333" s="46">
        <v>0</v>
      </c>
      <c r="G333" s="46">
        <v>0</v>
      </c>
      <c r="H333" s="46">
        <v>1</v>
      </c>
      <c r="I333" s="46">
        <f t="shared" si="5"/>
        <v>65</v>
      </c>
    </row>
    <row r="334" spans="1:9" x14ac:dyDescent="0.35">
      <c r="A334" t="str">
        <f>"410601"</f>
        <v>410601</v>
      </c>
      <c r="B334" t="s">
        <v>1800</v>
      </c>
      <c r="C334" s="46">
        <v>154</v>
      </c>
      <c r="D334" s="46">
        <v>0</v>
      </c>
      <c r="E334" s="46">
        <v>0</v>
      </c>
      <c r="F334" s="46">
        <v>0</v>
      </c>
      <c r="G334" s="46">
        <v>2</v>
      </c>
      <c r="H334" s="46">
        <v>3</v>
      </c>
      <c r="I334" s="46">
        <f t="shared" si="5"/>
        <v>130</v>
      </c>
    </row>
    <row r="335" spans="1:9" x14ac:dyDescent="0.35">
      <c r="A335" t="str">
        <f>"411101"</f>
        <v>411101</v>
      </c>
      <c r="B335" t="s">
        <v>1801</v>
      </c>
      <c r="C335" s="46">
        <v>90</v>
      </c>
      <c r="D335" s="46">
        <v>0</v>
      </c>
      <c r="E335" s="46">
        <v>0</v>
      </c>
      <c r="F335" s="46">
        <v>0</v>
      </c>
      <c r="G335" s="46">
        <v>0</v>
      </c>
      <c r="H335" s="46">
        <v>2</v>
      </c>
      <c r="I335" s="46">
        <f t="shared" si="5"/>
        <v>74</v>
      </c>
    </row>
    <row r="336" spans="1:9" x14ac:dyDescent="0.35">
      <c r="A336" t="str">
        <f>"411501"</f>
        <v>411501</v>
      </c>
      <c r="B336" t="s">
        <v>1802</v>
      </c>
      <c r="C336" s="46">
        <v>168</v>
      </c>
      <c r="D336" s="46">
        <v>0</v>
      </c>
      <c r="E336" s="46">
        <v>0</v>
      </c>
      <c r="F336" s="46">
        <v>0</v>
      </c>
      <c r="G336" s="46">
        <v>0</v>
      </c>
      <c r="H336" s="46">
        <v>4</v>
      </c>
      <c r="I336" s="46">
        <f t="shared" si="5"/>
        <v>139</v>
      </c>
    </row>
    <row r="337" spans="1:9" x14ac:dyDescent="0.35">
      <c r="A337" t="str">
        <f>"411504"</f>
        <v>411504</v>
      </c>
      <c r="B337" t="s">
        <v>1803</v>
      </c>
      <c r="C337" s="46">
        <v>46</v>
      </c>
      <c r="D337" s="46">
        <v>0</v>
      </c>
      <c r="E337" s="46">
        <v>0</v>
      </c>
      <c r="F337" s="46">
        <v>0</v>
      </c>
      <c r="G337" s="46">
        <v>0</v>
      </c>
      <c r="H337" s="46">
        <v>6</v>
      </c>
      <c r="I337" s="46">
        <f t="shared" si="5"/>
        <v>34</v>
      </c>
    </row>
    <row r="338" spans="1:9" x14ac:dyDescent="0.35">
      <c r="A338" t="str">
        <f>"411603"</f>
        <v>411603</v>
      </c>
      <c r="B338" t="s">
        <v>689</v>
      </c>
      <c r="C338" s="46">
        <v>73</v>
      </c>
      <c r="D338" s="46">
        <v>0</v>
      </c>
      <c r="E338" s="46">
        <v>1</v>
      </c>
      <c r="F338" s="46">
        <v>0</v>
      </c>
      <c r="G338" s="46">
        <v>0</v>
      </c>
      <c r="H338" s="46">
        <v>0</v>
      </c>
      <c r="I338" s="46">
        <f t="shared" si="5"/>
        <v>62</v>
      </c>
    </row>
    <row r="339" spans="1:9" x14ac:dyDescent="0.35">
      <c r="A339" t="str">
        <f>"411701"</f>
        <v>411701</v>
      </c>
      <c r="B339" t="s">
        <v>1804</v>
      </c>
      <c r="C339" s="46">
        <v>34</v>
      </c>
      <c r="D339" s="46">
        <v>0</v>
      </c>
      <c r="E339" s="46">
        <v>0</v>
      </c>
      <c r="F339" s="46">
        <v>0</v>
      </c>
      <c r="G339" s="46">
        <v>0</v>
      </c>
      <c r="H339" s="46">
        <v>0</v>
      </c>
      <c r="I339" s="46">
        <f t="shared" si="5"/>
        <v>28</v>
      </c>
    </row>
    <row r="340" spans="1:9" x14ac:dyDescent="0.35">
      <c r="A340" t="str">
        <f>"411800"</f>
        <v>411800</v>
      </c>
      <c r="B340" t="s">
        <v>1805</v>
      </c>
      <c r="C340" s="46">
        <v>402</v>
      </c>
      <c r="D340" s="46">
        <v>0</v>
      </c>
      <c r="E340" s="46">
        <v>1</v>
      </c>
      <c r="F340" s="46">
        <v>0</v>
      </c>
      <c r="G340" s="46">
        <v>9</v>
      </c>
      <c r="H340" s="46">
        <v>31</v>
      </c>
      <c r="I340" s="46">
        <f t="shared" si="5"/>
        <v>323</v>
      </c>
    </row>
    <row r="341" spans="1:9" x14ac:dyDescent="0.35">
      <c r="A341" t="str">
        <f>"411902"</f>
        <v>411902</v>
      </c>
      <c r="B341" t="s">
        <v>1542</v>
      </c>
      <c r="C341" s="46">
        <v>47</v>
      </c>
      <c r="D341" s="46">
        <v>0</v>
      </c>
      <c r="E341" s="46">
        <v>0</v>
      </c>
      <c r="F341" s="46">
        <v>0</v>
      </c>
      <c r="G341" s="46">
        <v>0</v>
      </c>
      <c r="H341" s="46">
        <v>4</v>
      </c>
      <c r="I341" s="46">
        <f t="shared" si="5"/>
        <v>36</v>
      </c>
    </row>
    <row r="342" spans="1:9" x14ac:dyDescent="0.35">
      <c r="A342" t="str">
        <f>"412000"</f>
        <v>412000</v>
      </c>
      <c r="B342" t="s">
        <v>1806</v>
      </c>
      <c r="C342" s="46">
        <v>115</v>
      </c>
      <c r="D342" s="46">
        <v>0</v>
      </c>
      <c r="E342" s="46">
        <v>0</v>
      </c>
      <c r="F342" s="46">
        <v>0</v>
      </c>
      <c r="G342" s="46">
        <v>0</v>
      </c>
      <c r="H342" s="46">
        <v>4</v>
      </c>
      <c r="I342" s="46">
        <f t="shared" si="5"/>
        <v>94</v>
      </c>
    </row>
    <row r="343" spans="1:9" x14ac:dyDescent="0.35">
      <c r="A343" t="str">
        <f>"412201"</f>
        <v>412201</v>
      </c>
      <c r="B343" t="s">
        <v>699</v>
      </c>
      <c r="C343" s="46">
        <v>72</v>
      </c>
      <c r="D343" s="46">
        <v>0</v>
      </c>
      <c r="E343" s="46">
        <v>0</v>
      </c>
      <c r="F343" s="46">
        <v>0</v>
      </c>
      <c r="G343" s="46">
        <v>0</v>
      </c>
      <c r="H343" s="46">
        <v>5</v>
      </c>
      <c r="I343" s="46">
        <f t="shared" si="5"/>
        <v>56</v>
      </c>
    </row>
    <row r="344" spans="1:9" x14ac:dyDescent="0.35">
      <c r="A344" t="str">
        <f>"412300"</f>
        <v>412300</v>
      </c>
      <c r="B344" t="s">
        <v>1807</v>
      </c>
      <c r="C344" s="46">
        <v>723</v>
      </c>
      <c r="D344" s="46">
        <v>0</v>
      </c>
      <c r="E344" s="46">
        <v>75</v>
      </c>
      <c r="F344" s="46">
        <v>0</v>
      </c>
      <c r="G344" s="46">
        <v>34</v>
      </c>
      <c r="H344" s="46">
        <v>40</v>
      </c>
      <c r="I344" s="46">
        <f t="shared" si="5"/>
        <v>673</v>
      </c>
    </row>
    <row r="345" spans="1:9" x14ac:dyDescent="0.35">
      <c r="A345" t="str">
        <f>"412801"</f>
        <v>412801</v>
      </c>
      <c r="B345" t="s">
        <v>1808</v>
      </c>
      <c r="C345" s="46">
        <v>61</v>
      </c>
      <c r="D345" s="46">
        <v>0</v>
      </c>
      <c r="E345" s="46">
        <v>0</v>
      </c>
      <c r="F345" s="46">
        <v>0</v>
      </c>
      <c r="G345" s="46">
        <v>0</v>
      </c>
      <c r="H345" s="46">
        <v>2</v>
      </c>
      <c r="I345" s="46">
        <f t="shared" si="5"/>
        <v>50</v>
      </c>
    </row>
    <row r="346" spans="1:9" x14ac:dyDescent="0.35">
      <c r="A346" t="str">
        <f>"412901"</f>
        <v>412901</v>
      </c>
      <c r="B346" t="s">
        <v>1809</v>
      </c>
      <c r="C346" s="46">
        <v>36</v>
      </c>
      <c r="D346" s="46">
        <v>0</v>
      </c>
      <c r="E346" s="46">
        <v>0</v>
      </c>
      <c r="F346" s="46">
        <v>0</v>
      </c>
      <c r="G346" s="46">
        <v>0</v>
      </c>
      <c r="H346" s="46">
        <v>2</v>
      </c>
      <c r="I346" s="46">
        <f t="shared" si="5"/>
        <v>28</v>
      </c>
    </row>
    <row r="347" spans="1:9" x14ac:dyDescent="0.35">
      <c r="A347" t="str">
        <f>"412902"</f>
        <v>412902</v>
      </c>
      <c r="B347" t="s">
        <v>1438</v>
      </c>
      <c r="C347" s="46">
        <v>198</v>
      </c>
      <c r="D347" s="46">
        <v>0</v>
      </c>
      <c r="E347" s="46">
        <v>3</v>
      </c>
      <c r="F347" s="46">
        <v>0</v>
      </c>
      <c r="G347" s="46">
        <v>13</v>
      </c>
      <c r="H347" s="46">
        <v>14</v>
      </c>
      <c r="I347" s="46">
        <f t="shared" si="5"/>
        <v>170</v>
      </c>
    </row>
    <row r="348" spans="1:9" x14ac:dyDescent="0.35">
      <c r="A348" t="str">
        <f>"420101"</f>
        <v>420101</v>
      </c>
      <c r="B348" t="s">
        <v>1810</v>
      </c>
      <c r="C348" s="46">
        <v>335</v>
      </c>
      <c r="D348" s="46">
        <v>0</v>
      </c>
      <c r="E348" s="46">
        <v>0</v>
      </c>
      <c r="F348" s="46">
        <v>0</v>
      </c>
      <c r="G348" s="46">
        <v>31</v>
      </c>
      <c r="H348" s="46">
        <v>12</v>
      </c>
      <c r="I348" s="46">
        <f t="shared" si="5"/>
        <v>300</v>
      </c>
    </row>
    <row r="349" spans="1:9" x14ac:dyDescent="0.35">
      <c r="A349" t="str">
        <f>"420303"</f>
        <v>420303</v>
      </c>
      <c r="B349" t="s">
        <v>711</v>
      </c>
      <c r="C349" s="46">
        <v>598</v>
      </c>
      <c r="D349" s="46">
        <v>0</v>
      </c>
      <c r="E349" s="46">
        <v>1</v>
      </c>
      <c r="F349" s="46">
        <v>0</v>
      </c>
      <c r="G349" s="46">
        <v>27</v>
      </c>
      <c r="H349" s="46">
        <v>50</v>
      </c>
      <c r="I349" s="46">
        <f t="shared" si="5"/>
        <v>489</v>
      </c>
    </row>
    <row r="350" spans="1:9" x14ac:dyDescent="0.35">
      <c r="A350" t="str">
        <f>"420401"</f>
        <v>420401</v>
      </c>
      <c r="B350" t="s">
        <v>1811</v>
      </c>
      <c r="C350" s="46">
        <v>200</v>
      </c>
      <c r="D350" s="46">
        <v>0</v>
      </c>
      <c r="E350" s="46">
        <v>0</v>
      </c>
      <c r="F350" s="46">
        <v>0</v>
      </c>
      <c r="G350" s="46">
        <v>0</v>
      </c>
      <c r="H350" s="46">
        <v>0</v>
      </c>
      <c r="I350" s="46">
        <f t="shared" si="5"/>
        <v>170</v>
      </c>
    </row>
    <row r="351" spans="1:9" x14ac:dyDescent="0.35">
      <c r="A351" t="str">
        <f>"420411"</f>
        <v>420411</v>
      </c>
      <c r="B351" t="s">
        <v>715</v>
      </c>
      <c r="C351" s="46">
        <v>165</v>
      </c>
      <c r="D351" s="46">
        <v>0</v>
      </c>
      <c r="E351" s="46">
        <v>0</v>
      </c>
      <c r="F351" s="46">
        <v>0</v>
      </c>
      <c r="G351" s="46">
        <v>67</v>
      </c>
      <c r="H351" s="46">
        <v>9</v>
      </c>
      <c r="I351" s="46">
        <f t="shared" si="5"/>
        <v>189</v>
      </c>
    </row>
    <row r="352" spans="1:9" x14ac:dyDescent="0.35">
      <c r="A352" t="str">
        <f>"420501"</f>
        <v>420501</v>
      </c>
      <c r="B352" t="s">
        <v>1812</v>
      </c>
      <c r="C352" s="46">
        <v>66</v>
      </c>
      <c r="D352" s="46">
        <v>0</v>
      </c>
      <c r="E352" s="46">
        <v>0</v>
      </c>
      <c r="F352" s="46">
        <v>0</v>
      </c>
      <c r="G352" s="46">
        <v>0</v>
      </c>
      <c r="H352" s="46">
        <v>2</v>
      </c>
      <c r="I352" s="46">
        <f t="shared" si="5"/>
        <v>54</v>
      </c>
    </row>
    <row r="353" spans="1:9" x14ac:dyDescent="0.35">
      <c r="A353" t="str">
        <f>"420601"</f>
        <v>420601</v>
      </c>
      <c r="B353" t="s">
        <v>719</v>
      </c>
      <c r="C353" s="46">
        <v>51</v>
      </c>
      <c r="D353" s="46">
        <v>0</v>
      </c>
      <c r="E353" s="46">
        <v>0</v>
      </c>
      <c r="F353" s="46">
        <v>0</v>
      </c>
      <c r="G353" s="46">
        <v>0</v>
      </c>
      <c r="H353" s="46">
        <v>0</v>
      </c>
      <c r="I353" s="46">
        <f t="shared" si="5"/>
        <v>43</v>
      </c>
    </row>
    <row r="354" spans="1:9" x14ac:dyDescent="0.35">
      <c r="A354" t="str">
        <f>"420701"</f>
        <v>420701</v>
      </c>
      <c r="B354" t="s">
        <v>1813</v>
      </c>
      <c r="C354" s="46">
        <v>118</v>
      </c>
      <c r="D354" s="46">
        <v>0</v>
      </c>
      <c r="E354" s="46">
        <v>0</v>
      </c>
      <c r="F354" s="46">
        <v>0</v>
      </c>
      <c r="G354" s="46">
        <v>9</v>
      </c>
      <c r="H354" s="46">
        <v>4</v>
      </c>
      <c r="I354" s="46">
        <f t="shared" si="5"/>
        <v>104</v>
      </c>
    </row>
    <row r="355" spans="1:9" x14ac:dyDescent="0.35">
      <c r="A355" t="str">
        <f>"420702"</f>
        <v>420702</v>
      </c>
      <c r="B355" t="s">
        <v>1814</v>
      </c>
      <c r="C355" s="46">
        <v>83</v>
      </c>
      <c r="D355" s="46">
        <v>0</v>
      </c>
      <c r="E355" s="46">
        <v>1</v>
      </c>
      <c r="F355" s="46">
        <v>0</v>
      </c>
      <c r="G355" s="46">
        <v>0</v>
      </c>
      <c r="H355" s="46">
        <v>0</v>
      </c>
      <c r="I355" s="46">
        <f t="shared" si="5"/>
        <v>71</v>
      </c>
    </row>
    <row r="356" spans="1:9" x14ac:dyDescent="0.35">
      <c r="A356" t="str">
        <f>"420807"</f>
        <v>420807</v>
      </c>
      <c r="B356" t="s">
        <v>1815</v>
      </c>
      <c r="C356" s="46">
        <v>52</v>
      </c>
      <c r="D356" s="46">
        <v>0</v>
      </c>
      <c r="E356" s="46">
        <v>1</v>
      </c>
      <c r="F356" s="46">
        <v>0</v>
      </c>
      <c r="G356" s="46">
        <v>0</v>
      </c>
      <c r="H356" s="46">
        <v>0</v>
      </c>
      <c r="I356" s="46">
        <f t="shared" si="5"/>
        <v>45</v>
      </c>
    </row>
    <row r="357" spans="1:9" x14ac:dyDescent="0.35">
      <c r="A357" t="str">
        <f>"420901"</f>
        <v>420901</v>
      </c>
      <c r="B357" t="s">
        <v>727</v>
      </c>
      <c r="C357" s="46">
        <v>338</v>
      </c>
      <c r="D357" s="46">
        <v>0</v>
      </c>
      <c r="E357" s="46">
        <v>0</v>
      </c>
      <c r="F357" s="46">
        <v>0</v>
      </c>
      <c r="G357" s="46">
        <v>22</v>
      </c>
      <c r="H357" s="46">
        <v>0</v>
      </c>
      <c r="I357" s="46">
        <f t="shared" si="5"/>
        <v>306</v>
      </c>
    </row>
    <row r="358" spans="1:9" x14ac:dyDescent="0.35">
      <c r="A358" t="str">
        <f>"421001"</f>
        <v>421001</v>
      </c>
      <c r="B358" t="s">
        <v>1816</v>
      </c>
      <c r="C358" s="46">
        <v>258</v>
      </c>
      <c r="D358" s="46">
        <v>0</v>
      </c>
      <c r="E358" s="46">
        <v>0</v>
      </c>
      <c r="F358" s="46">
        <v>0</v>
      </c>
      <c r="G358" s="46">
        <v>34</v>
      </c>
      <c r="H358" s="46">
        <v>4</v>
      </c>
      <c r="I358" s="46">
        <f t="shared" si="5"/>
        <v>244</v>
      </c>
    </row>
    <row r="359" spans="1:9" x14ac:dyDescent="0.35">
      <c r="A359" t="str">
        <f>"421101"</f>
        <v>421101</v>
      </c>
      <c r="B359" t="s">
        <v>1817</v>
      </c>
      <c r="C359" s="46">
        <v>94</v>
      </c>
      <c r="D359" s="46">
        <v>0</v>
      </c>
      <c r="E359" s="46">
        <v>0</v>
      </c>
      <c r="F359" s="46">
        <v>0</v>
      </c>
      <c r="G359" s="46">
        <v>0</v>
      </c>
      <c r="H359" s="46">
        <v>0</v>
      </c>
      <c r="I359" s="46">
        <f t="shared" si="5"/>
        <v>79</v>
      </c>
    </row>
    <row r="360" spans="1:9" x14ac:dyDescent="0.35">
      <c r="A360" t="str">
        <f>"421201"</f>
        <v>421201</v>
      </c>
      <c r="B360" t="s">
        <v>1818</v>
      </c>
      <c r="C360" s="46">
        <v>57</v>
      </c>
      <c r="D360" s="46">
        <v>0</v>
      </c>
      <c r="E360" s="46">
        <v>0</v>
      </c>
      <c r="F360" s="46">
        <v>0</v>
      </c>
      <c r="G360" s="46">
        <v>0</v>
      </c>
      <c r="H360" s="46">
        <v>0</v>
      </c>
      <c r="I360" s="46">
        <f t="shared" si="5"/>
        <v>48</v>
      </c>
    </row>
    <row r="361" spans="1:9" x14ac:dyDescent="0.35">
      <c r="A361" t="str">
        <f>"421501"</f>
        <v>421501</v>
      </c>
      <c r="B361" t="s">
        <v>1819</v>
      </c>
      <c r="C361" s="46">
        <v>473</v>
      </c>
      <c r="D361" s="46">
        <v>0</v>
      </c>
      <c r="E361" s="46">
        <v>3</v>
      </c>
      <c r="F361" s="46">
        <v>0</v>
      </c>
      <c r="G361" s="46">
        <v>0</v>
      </c>
      <c r="H361" s="46">
        <v>26</v>
      </c>
      <c r="I361" s="46">
        <f t="shared" si="5"/>
        <v>382</v>
      </c>
    </row>
    <row r="362" spans="1:9" x14ac:dyDescent="0.35">
      <c r="A362" t="str">
        <f>"421504"</f>
        <v>421504</v>
      </c>
      <c r="B362" t="s">
        <v>1820</v>
      </c>
      <c r="C362" s="46">
        <v>41</v>
      </c>
      <c r="D362" s="46">
        <v>0</v>
      </c>
      <c r="E362" s="46">
        <v>1</v>
      </c>
      <c r="F362" s="46">
        <v>0</v>
      </c>
      <c r="G362" s="46">
        <v>0</v>
      </c>
      <c r="H362" s="46">
        <v>2</v>
      </c>
      <c r="I362" s="46">
        <f t="shared" si="5"/>
        <v>34</v>
      </c>
    </row>
    <row r="363" spans="1:9" x14ac:dyDescent="0.35">
      <c r="A363" t="str">
        <f>"421601"</f>
        <v>421601</v>
      </c>
      <c r="B363" t="s">
        <v>1821</v>
      </c>
      <c r="C363" s="46">
        <v>100</v>
      </c>
      <c r="D363" s="46">
        <v>0</v>
      </c>
      <c r="E363" s="46">
        <v>0</v>
      </c>
      <c r="F363" s="46">
        <v>0</v>
      </c>
      <c r="G363" s="46">
        <v>0</v>
      </c>
      <c r="H363" s="46">
        <v>0</v>
      </c>
      <c r="I363" s="46">
        <f t="shared" si="5"/>
        <v>85</v>
      </c>
    </row>
    <row r="364" spans="1:9" x14ac:dyDescent="0.35">
      <c r="A364" t="str">
        <f>"421800"</f>
        <v>421800</v>
      </c>
      <c r="B364" t="s">
        <v>1822</v>
      </c>
      <c r="C364" s="46">
        <v>1267</v>
      </c>
      <c r="D364" s="46">
        <v>0</v>
      </c>
      <c r="E364" s="46">
        <v>204</v>
      </c>
      <c r="F364" s="46">
        <v>0</v>
      </c>
      <c r="G364" s="46">
        <v>72</v>
      </c>
      <c r="H364" s="46">
        <v>0</v>
      </c>
      <c r="I364" s="46">
        <f t="shared" si="5"/>
        <v>1311</v>
      </c>
    </row>
    <row r="365" spans="1:9" x14ac:dyDescent="0.35">
      <c r="A365" t="str">
        <f>"421902"</f>
        <v>421902</v>
      </c>
      <c r="B365" t="s">
        <v>1823</v>
      </c>
      <c r="C365" s="46">
        <v>61</v>
      </c>
      <c r="D365" s="46">
        <v>0</v>
      </c>
      <c r="E365" s="46">
        <v>1</v>
      </c>
      <c r="F365" s="46">
        <v>0</v>
      </c>
      <c r="G365" s="46">
        <v>0</v>
      </c>
      <c r="H365" s="46">
        <v>2</v>
      </c>
      <c r="I365" s="46">
        <f t="shared" si="5"/>
        <v>51</v>
      </c>
    </row>
    <row r="366" spans="1:9" x14ac:dyDescent="0.35">
      <c r="A366" t="str">
        <f>"430300"</f>
        <v>430300</v>
      </c>
      <c r="B366" t="s">
        <v>1824</v>
      </c>
      <c r="C366" s="46">
        <v>217</v>
      </c>
      <c r="D366" s="46">
        <v>0</v>
      </c>
      <c r="E366" s="46">
        <v>0</v>
      </c>
      <c r="F366" s="46">
        <v>0</v>
      </c>
      <c r="G366" s="46">
        <v>29</v>
      </c>
      <c r="H366" s="46">
        <v>9</v>
      </c>
      <c r="I366" s="46">
        <f t="shared" si="5"/>
        <v>201</v>
      </c>
    </row>
    <row r="367" spans="1:9" x14ac:dyDescent="0.35">
      <c r="A367" t="str">
        <f>"430501"</f>
        <v>430501</v>
      </c>
      <c r="B367" t="s">
        <v>747</v>
      </c>
      <c r="C367" s="46">
        <v>65</v>
      </c>
      <c r="D367" s="46">
        <v>0</v>
      </c>
      <c r="E367" s="46">
        <v>0</v>
      </c>
      <c r="F367" s="46">
        <v>0</v>
      </c>
      <c r="G367" s="46">
        <v>0</v>
      </c>
      <c r="H367" s="46">
        <v>1</v>
      </c>
      <c r="I367" s="46">
        <f t="shared" si="5"/>
        <v>54</v>
      </c>
    </row>
    <row r="368" spans="1:9" x14ac:dyDescent="0.35">
      <c r="A368" t="str">
        <f>"430700"</f>
        <v>430700</v>
      </c>
      <c r="B368" t="s">
        <v>1526</v>
      </c>
      <c r="C368" s="46">
        <v>159</v>
      </c>
      <c r="D368" s="46">
        <v>0</v>
      </c>
      <c r="E368" s="46">
        <v>0</v>
      </c>
      <c r="F368" s="46">
        <v>0</v>
      </c>
      <c r="G368" s="46">
        <v>18</v>
      </c>
      <c r="H368" s="46">
        <v>0</v>
      </c>
      <c r="I368" s="46">
        <f t="shared" si="5"/>
        <v>150</v>
      </c>
    </row>
    <row r="369" spans="1:9" x14ac:dyDescent="0.35">
      <c r="A369" t="str">
        <f>"430901"</f>
        <v>430901</v>
      </c>
      <c r="B369" t="s">
        <v>751</v>
      </c>
      <c r="C369" s="46">
        <v>53</v>
      </c>
      <c r="D369" s="46">
        <v>0</v>
      </c>
      <c r="E369" s="46">
        <v>0</v>
      </c>
      <c r="F369" s="46">
        <v>0</v>
      </c>
      <c r="G369" s="46">
        <v>0</v>
      </c>
      <c r="H369" s="46">
        <v>0</v>
      </c>
      <c r="I369" s="46">
        <f t="shared" si="5"/>
        <v>45</v>
      </c>
    </row>
    <row r="370" spans="1:9" x14ac:dyDescent="0.35">
      <c r="A370" t="str">
        <f>"431101"</f>
        <v>431101</v>
      </c>
      <c r="B370" t="s">
        <v>1825</v>
      </c>
      <c r="C370" s="46">
        <v>39</v>
      </c>
      <c r="D370" s="46">
        <v>0</v>
      </c>
      <c r="E370" s="46">
        <v>0</v>
      </c>
      <c r="F370" s="46">
        <v>0</v>
      </c>
      <c r="G370" s="46">
        <v>0</v>
      </c>
      <c r="H370" s="46">
        <v>0</v>
      </c>
      <c r="I370" s="46">
        <f t="shared" si="5"/>
        <v>33</v>
      </c>
    </row>
    <row r="371" spans="1:9" x14ac:dyDescent="0.35">
      <c r="A371" t="str">
        <f>"431201"</f>
        <v>431201</v>
      </c>
      <c r="B371" t="s">
        <v>1826</v>
      </c>
      <c r="C371" s="46">
        <v>38</v>
      </c>
      <c r="D371" s="46">
        <v>0</v>
      </c>
      <c r="E371" s="46">
        <v>0</v>
      </c>
      <c r="F371" s="46">
        <v>0</v>
      </c>
      <c r="G371" s="46">
        <v>0</v>
      </c>
      <c r="H371" s="46">
        <v>2</v>
      </c>
      <c r="I371" s="46">
        <f t="shared" si="5"/>
        <v>30</v>
      </c>
    </row>
    <row r="372" spans="1:9" x14ac:dyDescent="0.35">
      <c r="A372" t="str">
        <f>"431301"</f>
        <v>431301</v>
      </c>
      <c r="B372" t="s">
        <v>757</v>
      </c>
      <c r="C372" s="46">
        <v>99</v>
      </c>
      <c r="D372" s="46">
        <v>0</v>
      </c>
      <c r="E372" s="46">
        <v>0</v>
      </c>
      <c r="F372" s="46">
        <v>0</v>
      </c>
      <c r="G372" s="46">
        <v>0</v>
      </c>
      <c r="H372" s="46">
        <v>0</v>
      </c>
      <c r="I372" s="46">
        <f t="shared" si="5"/>
        <v>84</v>
      </c>
    </row>
    <row r="373" spans="1:9" x14ac:dyDescent="0.35">
      <c r="A373" t="str">
        <f>"431401"</f>
        <v>431401</v>
      </c>
      <c r="B373" t="s">
        <v>1827</v>
      </c>
      <c r="C373" s="46">
        <v>38</v>
      </c>
      <c r="D373" s="46">
        <v>0</v>
      </c>
      <c r="E373" s="46">
        <v>0</v>
      </c>
      <c r="F373" s="46">
        <v>0</v>
      </c>
      <c r="G373" s="46">
        <v>0</v>
      </c>
      <c r="H373" s="46">
        <v>0</v>
      </c>
      <c r="I373" s="46">
        <f t="shared" si="5"/>
        <v>32</v>
      </c>
    </row>
    <row r="374" spans="1:9" x14ac:dyDescent="0.35">
      <c r="A374" t="str">
        <f>"431701"</f>
        <v>431701</v>
      </c>
      <c r="B374" t="s">
        <v>1828</v>
      </c>
      <c r="C374" s="46">
        <v>283</v>
      </c>
      <c r="D374" s="46">
        <v>0</v>
      </c>
      <c r="E374" s="46">
        <v>0</v>
      </c>
      <c r="F374" s="46">
        <v>0</v>
      </c>
      <c r="G374" s="46">
        <v>0</v>
      </c>
      <c r="H374" s="46">
        <v>0</v>
      </c>
      <c r="I374" s="46">
        <f t="shared" si="5"/>
        <v>240</v>
      </c>
    </row>
    <row r="375" spans="1:9" x14ac:dyDescent="0.35">
      <c r="A375" t="str">
        <f>"440102"</f>
        <v>440102</v>
      </c>
      <c r="B375" t="s">
        <v>763</v>
      </c>
      <c r="C375" s="46">
        <v>252</v>
      </c>
      <c r="D375" s="46">
        <v>0</v>
      </c>
      <c r="E375" s="46">
        <v>0</v>
      </c>
      <c r="F375" s="46">
        <v>0</v>
      </c>
      <c r="G375" s="46">
        <v>0</v>
      </c>
      <c r="H375" s="46">
        <v>24</v>
      </c>
      <c r="I375" s="46">
        <f t="shared" si="5"/>
        <v>193</v>
      </c>
    </row>
    <row r="376" spans="1:9" x14ac:dyDescent="0.35">
      <c r="A376" t="str">
        <f>"440201"</f>
        <v>440201</v>
      </c>
      <c r="B376" t="s">
        <v>1829</v>
      </c>
      <c r="C376" s="46">
        <v>62</v>
      </c>
      <c r="D376" s="46">
        <v>0</v>
      </c>
      <c r="E376" s="46">
        <v>0</v>
      </c>
      <c r="F376" s="46">
        <v>0</v>
      </c>
      <c r="G376" s="46">
        <v>0</v>
      </c>
      <c r="H376" s="46">
        <v>0</v>
      </c>
      <c r="I376" s="46">
        <f t="shared" si="5"/>
        <v>52</v>
      </c>
    </row>
    <row r="377" spans="1:9" x14ac:dyDescent="0.35">
      <c r="A377" t="str">
        <f>"440301"</f>
        <v>440301</v>
      </c>
      <c r="B377" t="s">
        <v>1830</v>
      </c>
      <c r="C377" s="46">
        <v>186</v>
      </c>
      <c r="D377" s="46">
        <v>0</v>
      </c>
      <c r="E377" s="46">
        <v>0</v>
      </c>
      <c r="F377" s="46">
        <v>0</v>
      </c>
      <c r="G377" s="46">
        <v>0</v>
      </c>
      <c r="H377" s="46">
        <v>8</v>
      </c>
      <c r="I377" s="46">
        <f t="shared" si="5"/>
        <v>151</v>
      </c>
    </row>
    <row r="378" spans="1:9" x14ac:dyDescent="0.35">
      <c r="A378" t="str">
        <f>"440401"</f>
        <v>440401</v>
      </c>
      <c r="B378" t="s">
        <v>1831</v>
      </c>
      <c r="C378" s="46">
        <v>305</v>
      </c>
      <c r="D378" s="46">
        <v>0</v>
      </c>
      <c r="E378" s="46">
        <v>0</v>
      </c>
      <c r="F378" s="46">
        <v>0</v>
      </c>
      <c r="G378" s="46">
        <v>152</v>
      </c>
      <c r="H378" s="46">
        <v>0</v>
      </c>
      <c r="I378" s="46">
        <f t="shared" si="5"/>
        <v>388</v>
      </c>
    </row>
    <row r="379" spans="1:9" x14ac:dyDescent="0.35">
      <c r="A379" t="str">
        <f>"440601"</f>
        <v>440601</v>
      </c>
      <c r="B379" t="s">
        <v>1832</v>
      </c>
      <c r="C379" s="46">
        <v>160</v>
      </c>
      <c r="D379" s="46">
        <v>0</v>
      </c>
      <c r="E379" s="46">
        <v>0</v>
      </c>
      <c r="F379" s="46">
        <v>0</v>
      </c>
      <c r="G379" s="46">
        <v>20</v>
      </c>
      <c r="H379" s="46">
        <v>0</v>
      </c>
      <c r="I379" s="46">
        <f t="shared" si="5"/>
        <v>153</v>
      </c>
    </row>
    <row r="380" spans="1:9" x14ac:dyDescent="0.35">
      <c r="A380" t="str">
        <f>"440901"</f>
        <v>440901</v>
      </c>
      <c r="B380" t="s">
        <v>773</v>
      </c>
      <c r="C380" s="46">
        <v>46</v>
      </c>
      <c r="D380" s="46">
        <v>0</v>
      </c>
      <c r="E380" s="46">
        <v>0</v>
      </c>
      <c r="F380" s="46">
        <v>0</v>
      </c>
      <c r="G380" s="46">
        <v>0</v>
      </c>
      <c r="H380" s="46">
        <v>0</v>
      </c>
      <c r="I380" s="46">
        <f t="shared" si="5"/>
        <v>39</v>
      </c>
    </row>
    <row r="381" spans="1:9" x14ac:dyDescent="0.35">
      <c r="A381" t="str">
        <f>"441000"</f>
        <v>441000</v>
      </c>
      <c r="B381" t="s">
        <v>1833</v>
      </c>
      <c r="C381" s="46">
        <v>514</v>
      </c>
      <c r="D381" s="46">
        <v>0</v>
      </c>
      <c r="E381" s="46">
        <v>0</v>
      </c>
      <c r="F381" s="46">
        <v>0</v>
      </c>
      <c r="G381" s="46">
        <v>32</v>
      </c>
      <c r="H381" s="46">
        <v>46</v>
      </c>
      <c r="I381" s="46">
        <f t="shared" si="5"/>
        <v>425</v>
      </c>
    </row>
    <row r="382" spans="1:9" x14ac:dyDescent="0.35">
      <c r="A382" t="str">
        <f>"441101"</f>
        <v>441101</v>
      </c>
      <c r="B382" t="s">
        <v>777</v>
      </c>
      <c r="C382" s="46">
        <v>279</v>
      </c>
      <c r="D382" s="46">
        <v>0</v>
      </c>
      <c r="E382" s="46">
        <v>0</v>
      </c>
      <c r="F382" s="46">
        <v>0</v>
      </c>
      <c r="G382" s="46">
        <v>0</v>
      </c>
      <c r="H382" s="46">
        <v>0</v>
      </c>
      <c r="I382" s="46">
        <f t="shared" si="5"/>
        <v>237</v>
      </c>
    </row>
    <row r="383" spans="1:9" x14ac:dyDescent="0.35">
      <c r="A383" t="str">
        <f>"441201"</f>
        <v>441201</v>
      </c>
      <c r="B383" t="s">
        <v>1834</v>
      </c>
      <c r="C383" s="46">
        <v>373</v>
      </c>
      <c r="D383" s="46">
        <v>0</v>
      </c>
      <c r="E383" s="46">
        <v>0</v>
      </c>
      <c r="F383" s="46">
        <v>0</v>
      </c>
      <c r="G383" s="46">
        <v>719</v>
      </c>
      <c r="H383" s="46">
        <v>0</v>
      </c>
      <c r="I383" s="46">
        <f t="shared" si="5"/>
        <v>928</v>
      </c>
    </row>
    <row r="384" spans="1:9" x14ac:dyDescent="0.35">
      <c r="A384" t="str">
        <f>"441202"</f>
        <v>441202</v>
      </c>
      <c r="B384" t="s">
        <v>1835</v>
      </c>
      <c r="C384" s="46">
        <v>4</v>
      </c>
      <c r="D384" s="46">
        <v>0</v>
      </c>
      <c r="E384" s="46">
        <v>0</v>
      </c>
      <c r="F384" s="46">
        <v>0</v>
      </c>
      <c r="G384" s="46">
        <v>1067</v>
      </c>
      <c r="H384" s="46">
        <v>0</v>
      </c>
      <c r="I384" s="46">
        <f t="shared" si="5"/>
        <v>910</v>
      </c>
    </row>
    <row r="385" spans="1:9" x14ac:dyDescent="0.35">
      <c r="A385" t="str">
        <f>"441301"</f>
        <v>441301</v>
      </c>
      <c r="B385" t="s">
        <v>1836</v>
      </c>
      <c r="C385" s="46">
        <v>297</v>
      </c>
      <c r="D385" s="46">
        <v>0</v>
      </c>
      <c r="E385" s="46">
        <v>0</v>
      </c>
      <c r="F385" s="46">
        <v>0</v>
      </c>
      <c r="G385" s="46">
        <v>27</v>
      </c>
      <c r="H385" s="46">
        <v>34</v>
      </c>
      <c r="I385" s="46">
        <f t="shared" si="5"/>
        <v>246</v>
      </c>
    </row>
    <row r="386" spans="1:9" x14ac:dyDescent="0.35">
      <c r="A386" t="str">
        <f>"441600"</f>
        <v>441600</v>
      </c>
      <c r="B386" t="s">
        <v>1837</v>
      </c>
      <c r="C386" s="46">
        <v>781</v>
      </c>
      <c r="D386" s="46">
        <v>0</v>
      </c>
      <c r="E386" s="46">
        <v>0</v>
      </c>
      <c r="F386" s="46">
        <v>0</v>
      </c>
      <c r="G386" s="46">
        <v>2</v>
      </c>
      <c r="H386" s="46">
        <v>50</v>
      </c>
      <c r="I386" s="46">
        <f t="shared" ref="I386:I449" si="6">MAX(TRUNC((C386+D386+E386+F386+G386-H386)*0.85,0),0)</f>
        <v>623</v>
      </c>
    </row>
    <row r="387" spans="1:9" x14ac:dyDescent="0.35">
      <c r="A387" t="str">
        <f>"441800"</f>
        <v>441800</v>
      </c>
      <c r="B387" t="s">
        <v>1838</v>
      </c>
      <c r="C387" s="46">
        <v>136</v>
      </c>
      <c r="D387" s="46">
        <v>0</v>
      </c>
      <c r="E387" s="46">
        <v>0</v>
      </c>
      <c r="F387" s="46">
        <v>0</v>
      </c>
      <c r="G387" s="46">
        <v>0</v>
      </c>
      <c r="H387" s="46">
        <v>29</v>
      </c>
      <c r="I387" s="46">
        <f t="shared" si="6"/>
        <v>90</v>
      </c>
    </row>
    <row r="388" spans="1:9" x14ac:dyDescent="0.35">
      <c r="A388" t="str">
        <f>"441903"</f>
        <v>441903</v>
      </c>
      <c r="B388" t="s">
        <v>1839</v>
      </c>
      <c r="C388" s="46">
        <v>12</v>
      </c>
      <c r="D388" s="46">
        <v>0</v>
      </c>
      <c r="E388" s="46">
        <v>0</v>
      </c>
      <c r="F388" s="46">
        <v>0</v>
      </c>
      <c r="G388" s="46">
        <v>8</v>
      </c>
      <c r="H388" s="46">
        <v>0</v>
      </c>
      <c r="I388" s="46">
        <f t="shared" si="6"/>
        <v>17</v>
      </c>
    </row>
    <row r="389" spans="1:9" x14ac:dyDescent="0.35">
      <c r="A389" t="str">
        <f>"442101"</f>
        <v>442101</v>
      </c>
      <c r="B389" t="s">
        <v>791</v>
      </c>
      <c r="C389" s="46">
        <v>242</v>
      </c>
      <c r="D389" s="46">
        <v>0</v>
      </c>
      <c r="E389" s="46">
        <v>0</v>
      </c>
      <c r="F389" s="46">
        <v>0</v>
      </c>
      <c r="G389" s="46">
        <v>3</v>
      </c>
      <c r="H389" s="46">
        <v>0</v>
      </c>
      <c r="I389" s="46">
        <f t="shared" si="6"/>
        <v>208</v>
      </c>
    </row>
    <row r="390" spans="1:9" x14ac:dyDescent="0.35">
      <c r="A390" t="str">
        <f>"442111"</f>
        <v>442111</v>
      </c>
      <c r="B390" t="s">
        <v>793</v>
      </c>
      <c r="C390" s="46">
        <v>55</v>
      </c>
      <c r="D390" s="46">
        <v>0</v>
      </c>
      <c r="E390" s="46">
        <v>0</v>
      </c>
      <c r="F390" s="46">
        <v>0</v>
      </c>
      <c r="G390" s="46">
        <v>0</v>
      </c>
      <c r="H390" s="46">
        <v>7</v>
      </c>
      <c r="I390" s="46">
        <f t="shared" si="6"/>
        <v>40</v>
      </c>
    </row>
    <row r="391" spans="1:9" x14ac:dyDescent="0.35">
      <c r="A391" t="str">
        <f>"442115"</f>
        <v>442115</v>
      </c>
      <c r="B391" t="s">
        <v>1840</v>
      </c>
      <c r="C391" s="46">
        <v>39</v>
      </c>
      <c r="D391" s="46">
        <v>0</v>
      </c>
      <c r="E391" s="46">
        <v>0</v>
      </c>
      <c r="F391" s="46">
        <v>0</v>
      </c>
      <c r="G391" s="46">
        <v>0</v>
      </c>
      <c r="H391" s="46">
        <v>2</v>
      </c>
      <c r="I391" s="46">
        <f t="shared" si="6"/>
        <v>31</v>
      </c>
    </row>
    <row r="392" spans="1:9" x14ac:dyDescent="0.35">
      <c r="A392" t="str">
        <f>"450101"</f>
        <v>450101</v>
      </c>
      <c r="B392" t="s">
        <v>1841</v>
      </c>
      <c r="C392" s="46">
        <v>112</v>
      </c>
      <c r="D392" s="46">
        <v>0</v>
      </c>
      <c r="E392" s="46">
        <v>0</v>
      </c>
      <c r="F392" s="46">
        <v>0</v>
      </c>
      <c r="G392" s="46">
        <v>0</v>
      </c>
      <c r="H392" s="46">
        <v>4</v>
      </c>
      <c r="I392" s="46">
        <f t="shared" si="6"/>
        <v>91</v>
      </c>
    </row>
    <row r="393" spans="1:9" x14ac:dyDescent="0.35">
      <c r="A393" t="str">
        <f>"450607"</f>
        <v>450607</v>
      </c>
      <c r="B393" t="s">
        <v>1842</v>
      </c>
      <c r="C393" s="46">
        <v>37</v>
      </c>
      <c r="D393" s="46">
        <v>0</v>
      </c>
      <c r="E393" s="46">
        <v>0</v>
      </c>
      <c r="F393" s="46">
        <v>0</v>
      </c>
      <c r="G393" s="46">
        <v>0</v>
      </c>
      <c r="H393" s="46">
        <v>0</v>
      </c>
      <c r="I393" s="46">
        <f t="shared" si="6"/>
        <v>31</v>
      </c>
    </row>
    <row r="394" spans="1:9" x14ac:dyDescent="0.35">
      <c r="A394" t="str">
        <f>"450704"</f>
        <v>450704</v>
      </c>
      <c r="B394" t="s">
        <v>1843</v>
      </c>
      <c r="C394" s="46">
        <v>62</v>
      </c>
      <c r="D394" s="46">
        <v>0</v>
      </c>
      <c r="E394" s="46">
        <v>0</v>
      </c>
      <c r="F394" s="46">
        <v>0</v>
      </c>
      <c r="G394" s="46">
        <v>0</v>
      </c>
      <c r="H394" s="46">
        <v>3</v>
      </c>
      <c r="I394" s="46">
        <f t="shared" si="6"/>
        <v>50</v>
      </c>
    </row>
    <row r="395" spans="1:9" x14ac:dyDescent="0.35">
      <c r="A395" t="str">
        <f>"450801"</f>
        <v>450801</v>
      </c>
      <c r="B395" t="s">
        <v>1844</v>
      </c>
      <c r="C395" s="46">
        <v>119</v>
      </c>
      <c r="D395" s="46">
        <v>0</v>
      </c>
      <c r="E395" s="46">
        <v>0</v>
      </c>
      <c r="F395" s="46">
        <v>0</v>
      </c>
      <c r="G395" s="46">
        <v>1</v>
      </c>
      <c r="H395" s="46">
        <v>0</v>
      </c>
      <c r="I395" s="46">
        <f t="shared" si="6"/>
        <v>102</v>
      </c>
    </row>
    <row r="396" spans="1:9" x14ac:dyDescent="0.35">
      <c r="A396" t="str">
        <f>"451001"</f>
        <v>451001</v>
      </c>
      <c r="B396" t="s">
        <v>1845</v>
      </c>
      <c r="C396" s="46">
        <v>48</v>
      </c>
      <c r="D396" s="46">
        <v>0</v>
      </c>
      <c r="E396" s="46">
        <v>0</v>
      </c>
      <c r="F396" s="46">
        <v>0</v>
      </c>
      <c r="G396" s="46">
        <v>0</v>
      </c>
      <c r="H396" s="46">
        <v>0</v>
      </c>
      <c r="I396" s="46">
        <f t="shared" si="6"/>
        <v>40</v>
      </c>
    </row>
    <row r="397" spans="1:9" x14ac:dyDescent="0.35">
      <c r="A397" t="str">
        <f>"460102"</f>
        <v>460102</v>
      </c>
      <c r="B397" t="s">
        <v>1846</v>
      </c>
      <c r="C397" s="46">
        <v>93</v>
      </c>
      <c r="D397" s="46">
        <v>0</v>
      </c>
      <c r="E397" s="46">
        <v>0</v>
      </c>
      <c r="F397" s="46">
        <v>0</v>
      </c>
      <c r="G397" s="46">
        <v>0</v>
      </c>
      <c r="H397" s="46">
        <v>6</v>
      </c>
      <c r="I397" s="46">
        <f t="shared" si="6"/>
        <v>73</v>
      </c>
    </row>
    <row r="398" spans="1:9" x14ac:dyDescent="0.35">
      <c r="A398" t="str">
        <f>"460500"</f>
        <v>460500</v>
      </c>
      <c r="B398" t="s">
        <v>1525</v>
      </c>
      <c r="C398" s="46">
        <v>250</v>
      </c>
      <c r="D398" s="46">
        <v>0</v>
      </c>
      <c r="E398" s="46">
        <v>0</v>
      </c>
      <c r="F398" s="46">
        <v>0</v>
      </c>
      <c r="G398" s="46">
        <v>0</v>
      </c>
      <c r="H398" s="46">
        <v>4</v>
      </c>
      <c r="I398" s="46">
        <f t="shared" si="6"/>
        <v>209</v>
      </c>
    </row>
    <row r="399" spans="1:9" x14ac:dyDescent="0.35">
      <c r="A399" t="str">
        <f>"460701"</f>
        <v>460701</v>
      </c>
      <c r="B399" t="s">
        <v>1847</v>
      </c>
      <c r="C399" s="46">
        <v>89</v>
      </c>
      <c r="D399" s="46">
        <v>0</v>
      </c>
      <c r="E399" s="46">
        <v>0</v>
      </c>
      <c r="F399" s="46">
        <v>0</v>
      </c>
      <c r="G399" s="46">
        <v>0</v>
      </c>
      <c r="H399" s="46">
        <v>0</v>
      </c>
      <c r="I399" s="46">
        <f t="shared" si="6"/>
        <v>75</v>
      </c>
    </row>
    <row r="400" spans="1:9" x14ac:dyDescent="0.35">
      <c r="A400" t="str">
        <f>"460801"</f>
        <v>460801</v>
      </c>
      <c r="B400" t="s">
        <v>813</v>
      </c>
      <c r="C400" s="46">
        <v>247</v>
      </c>
      <c r="D400" s="46">
        <v>0</v>
      </c>
      <c r="E400" s="46">
        <v>0</v>
      </c>
      <c r="F400" s="46">
        <v>0</v>
      </c>
      <c r="G400" s="46">
        <v>0</v>
      </c>
      <c r="H400" s="46">
        <v>0</v>
      </c>
      <c r="I400" s="46">
        <f t="shared" si="6"/>
        <v>209</v>
      </c>
    </row>
    <row r="401" spans="1:9" x14ac:dyDescent="0.35">
      <c r="A401" t="str">
        <f>"460901"</f>
        <v>460901</v>
      </c>
      <c r="B401" t="s">
        <v>1848</v>
      </c>
      <c r="C401" s="46">
        <v>139</v>
      </c>
      <c r="D401" s="46">
        <v>0</v>
      </c>
      <c r="E401" s="46">
        <v>0</v>
      </c>
      <c r="F401" s="46">
        <v>0</v>
      </c>
      <c r="G401" s="46">
        <v>0</v>
      </c>
      <c r="H401" s="46">
        <v>0</v>
      </c>
      <c r="I401" s="46">
        <f t="shared" si="6"/>
        <v>118</v>
      </c>
    </row>
    <row r="402" spans="1:9" x14ac:dyDescent="0.35">
      <c r="A402" t="str">
        <f>"461300"</f>
        <v>461300</v>
      </c>
      <c r="B402" t="s">
        <v>1469</v>
      </c>
      <c r="C402" s="46">
        <v>216</v>
      </c>
      <c r="D402" s="46">
        <v>0</v>
      </c>
      <c r="E402" s="46">
        <v>0</v>
      </c>
      <c r="F402" s="46">
        <v>0</v>
      </c>
      <c r="G402" s="46">
        <v>22</v>
      </c>
      <c r="H402" s="46">
        <v>0</v>
      </c>
      <c r="I402" s="46">
        <f t="shared" si="6"/>
        <v>202</v>
      </c>
    </row>
    <row r="403" spans="1:9" x14ac:dyDescent="0.35">
      <c r="A403" t="str">
        <f>"461801"</f>
        <v>461801</v>
      </c>
      <c r="B403" t="s">
        <v>1849</v>
      </c>
      <c r="C403" s="46">
        <v>67</v>
      </c>
      <c r="D403" s="46">
        <v>0</v>
      </c>
      <c r="E403" s="46">
        <v>0</v>
      </c>
      <c r="F403" s="46">
        <v>0</v>
      </c>
      <c r="G403" s="46">
        <v>0</v>
      </c>
      <c r="H403" s="46">
        <v>0</v>
      </c>
      <c r="I403" s="46">
        <f t="shared" si="6"/>
        <v>56</v>
      </c>
    </row>
    <row r="404" spans="1:9" x14ac:dyDescent="0.35">
      <c r="A404" t="str">
        <f>"461901"</f>
        <v>461901</v>
      </c>
      <c r="B404" t="s">
        <v>1850</v>
      </c>
      <c r="C404" s="46">
        <v>68</v>
      </c>
      <c r="D404" s="46">
        <v>0</v>
      </c>
      <c r="E404" s="46">
        <v>0</v>
      </c>
      <c r="F404" s="46">
        <v>0</v>
      </c>
      <c r="G404" s="46">
        <v>0</v>
      </c>
      <c r="H404" s="46">
        <v>3</v>
      </c>
      <c r="I404" s="46">
        <f t="shared" si="6"/>
        <v>55</v>
      </c>
    </row>
    <row r="405" spans="1:9" x14ac:dyDescent="0.35">
      <c r="A405" t="str">
        <f>"462001"</f>
        <v>462001</v>
      </c>
      <c r="B405" t="s">
        <v>1851</v>
      </c>
      <c r="C405" s="46">
        <v>121</v>
      </c>
      <c r="D405" s="46">
        <v>0</v>
      </c>
      <c r="E405" s="46">
        <v>0</v>
      </c>
      <c r="F405" s="46">
        <v>0</v>
      </c>
      <c r="G405" s="46">
        <v>0</v>
      </c>
      <c r="H405" s="46">
        <v>0</v>
      </c>
      <c r="I405" s="46">
        <f t="shared" si="6"/>
        <v>102</v>
      </c>
    </row>
    <row r="406" spans="1:9" x14ac:dyDescent="0.35">
      <c r="A406" t="str">
        <f>"470202"</f>
        <v>470202</v>
      </c>
      <c r="B406" t="s">
        <v>1852</v>
      </c>
      <c r="C406" s="46">
        <v>25</v>
      </c>
      <c r="D406" s="46">
        <v>0</v>
      </c>
      <c r="E406" s="46">
        <v>0</v>
      </c>
      <c r="F406" s="46">
        <v>0</v>
      </c>
      <c r="G406" s="46">
        <v>0</v>
      </c>
      <c r="H406" s="46">
        <v>0</v>
      </c>
      <c r="I406" s="46">
        <f t="shared" si="6"/>
        <v>21</v>
      </c>
    </row>
    <row r="407" spans="1:9" x14ac:dyDescent="0.35">
      <c r="A407" t="str">
        <f>"470501"</f>
        <v>470501</v>
      </c>
      <c r="B407" t="s">
        <v>1853</v>
      </c>
      <c r="C407" s="46">
        <v>31</v>
      </c>
      <c r="D407" s="46">
        <v>0</v>
      </c>
      <c r="E407" s="46">
        <v>0</v>
      </c>
      <c r="F407" s="46">
        <v>0</v>
      </c>
      <c r="G407" s="46">
        <v>0</v>
      </c>
      <c r="H407" s="46">
        <v>0</v>
      </c>
      <c r="I407" s="46">
        <f t="shared" si="6"/>
        <v>26</v>
      </c>
    </row>
    <row r="408" spans="1:9" x14ac:dyDescent="0.35">
      <c r="A408" t="str">
        <f>"470801"</f>
        <v>470801</v>
      </c>
      <c r="B408" t="s">
        <v>1854</v>
      </c>
      <c r="C408" s="46">
        <v>29</v>
      </c>
      <c r="D408" s="46">
        <v>0</v>
      </c>
      <c r="E408" s="46">
        <v>0</v>
      </c>
      <c r="F408" s="46">
        <v>0</v>
      </c>
      <c r="G408" s="46">
        <v>0</v>
      </c>
      <c r="H408" s="46">
        <v>0</v>
      </c>
      <c r="I408" s="46">
        <f t="shared" si="6"/>
        <v>24</v>
      </c>
    </row>
    <row r="409" spans="1:9" x14ac:dyDescent="0.35">
      <c r="A409" t="str">
        <f>"470901"</f>
        <v>470901</v>
      </c>
      <c r="B409" t="s">
        <v>1855</v>
      </c>
      <c r="C409" s="46">
        <v>23</v>
      </c>
      <c r="D409" s="46">
        <v>0</v>
      </c>
      <c r="E409" s="46">
        <v>0</v>
      </c>
      <c r="F409" s="46">
        <v>0</v>
      </c>
      <c r="G409" s="46">
        <v>0</v>
      </c>
      <c r="H409" s="46">
        <v>1</v>
      </c>
      <c r="I409" s="46">
        <f t="shared" si="6"/>
        <v>18</v>
      </c>
    </row>
    <row r="410" spans="1:9" x14ac:dyDescent="0.35">
      <c r="A410" t="str">
        <f>"471101"</f>
        <v>471101</v>
      </c>
      <c r="B410" t="s">
        <v>1856</v>
      </c>
      <c r="C410" s="46">
        <v>17</v>
      </c>
      <c r="D410" s="46">
        <v>0</v>
      </c>
      <c r="E410" s="46">
        <v>0</v>
      </c>
      <c r="F410" s="46">
        <v>0</v>
      </c>
      <c r="G410" s="46">
        <v>0</v>
      </c>
      <c r="H410" s="46">
        <v>1</v>
      </c>
      <c r="I410" s="46">
        <f t="shared" si="6"/>
        <v>13</v>
      </c>
    </row>
    <row r="411" spans="1:9" x14ac:dyDescent="0.35">
      <c r="A411" t="str">
        <f>"471201"</f>
        <v>471201</v>
      </c>
      <c r="B411" t="s">
        <v>1857</v>
      </c>
      <c r="C411" s="46">
        <v>17</v>
      </c>
      <c r="D411" s="46">
        <v>0</v>
      </c>
      <c r="E411" s="46">
        <v>0</v>
      </c>
      <c r="F411" s="46">
        <v>0</v>
      </c>
      <c r="G411" s="46">
        <v>0</v>
      </c>
      <c r="H411" s="46">
        <v>1</v>
      </c>
      <c r="I411" s="46">
        <f t="shared" si="6"/>
        <v>13</v>
      </c>
    </row>
    <row r="412" spans="1:9" x14ac:dyDescent="0.35">
      <c r="A412" t="str">
        <f>"471400"</f>
        <v>471400</v>
      </c>
      <c r="B412" t="s">
        <v>1858</v>
      </c>
      <c r="C412" s="46">
        <v>124</v>
      </c>
      <c r="D412" s="46">
        <v>0</v>
      </c>
      <c r="E412" s="46">
        <v>0</v>
      </c>
      <c r="F412" s="46">
        <v>0</v>
      </c>
      <c r="G412" s="46">
        <v>0</v>
      </c>
      <c r="H412" s="46">
        <v>11</v>
      </c>
      <c r="I412" s="46">
        <f t="shared" si="6"/>
        <v>96</v>
      </c>
    </row>
    <row r="413" spans="1:9" x14ac:dyDescent="0.35">
      <c r="A413" t="str">
        <f>"471601"</f>
        <v>471601</v>
      </c>
      <c r="B413" t="s">
        <v>839</v>
      </c>
      <c r="C413" s="46">
        <v>52</v>
      </c>
      <c r="D413" s="46">
        <v>0</v>
      </c>
      <c r="E413" s="46">
        <v>0</v>
      </c>
      <c r="F413" s="46">
        <v>0</v>
      </c>
      <c r="G413" s="46">
        <v>14</v>
      </c>
      <c r="H413" s="46">
        <v>0</v>
      </c>
      <c r="I413" s="46">
        <f t="shared" si="6"/>
        <v>56</v>
      </c>
    </row>
    <row r="414" spans="1:9" x14ac:dyDescent="0.35">
      <c r="A414" t="str">
        <f>"471701"</f>
        <v>471701</v>
      </c>
      <c r="B414" t="s">
        <v>1859</v>
      </c>
      <c r="C414" s="46">
        <v>42</v>
      </c>
      <c r="D414" s="46">
        <v>0</v>
      </c>
      <c r="E414" s="46">
        <v>0</v>
      </c>
      <c r="F414" s="46">
        <v>0</v>
      </c>
      <c r="G414" s="46">
        <v>0</v>
      </c>
      <c r="H414" s="46">
        <v>4</v>
      </c>
      <c r="I414" s="46">
        <f t="shared" si="6"/>
        <v>32</v>
      </c>
    </row>
    <row r="415" spans="1:9" x14ac:dyDescent="0.35">
      <c r="A415" t="str">
        <f>"472001"</f>
        <v>472001</v>
      </c>
      <c r="B415" t="s">
        <v>843</v>
      </c>
      <c r="C415" s="46">
        <v>26</v>
      </c>
      <c r="D415" s="46">
        <v>0</v>
      </c>
      <c r="E415" s="46">
        <v>0</v>
      </c>
      <c r="F415" s="46">
        <v>0</v>
      </c>
      <c r="G415" s="46">
        <v>0</v>
      </c>
      <c r="H415" s="46">
        <v>0</v>
      </c>
      <c r="I415" s="46">
        <f t="shared" si="6"/>
        <v>22</v>
      </c>
    </row>
    <row r="416" spans="1:9" x14ac:dyDescent="0.35">
      <c r="A416" t="str">
        <f>"472202"</f>
        <v>472202</v>
      </c>
      <c r="B416" t="s">
        <v>1860</v>
      </c>
      <c r="C416" s="46">
        <v>40</v>
      </c>
      <c r="D416" s="46">
        <v>0</v>
      </c>
      <c r="E416" s="46">
        <v>0</v>
      </c>
      <c r="F416" s="46">
        <v>0</v>
      </c>
      <c r="G416" s="46">
        <v>0</v>
      </c>
      <c r="H416" s="46">
        <v>0</v>
      </c>
      <c r="I416" s="46">
        <f t="shared" si="6"/>
        <v>34</v>
      </c>
    </row>
    <row r="417" spans="1:9" x14ac:dyDescent="0.35">
      <c r="A417" t="str">
        <f>"472506"</f>
        <v>472506</v>
      </c>
      <c r="B417" t="s">
        <v>1861</v>
      </c>
      <c r="C417" s="46">
        <v>27</v>
      </c>
      <c r="D417" s="46">
        <v>0</v>
      </c>
      <c r="E417" s="46">
        <v>0</v>
      </c>
      <c r="F417" s="46">
        <v>0</v>
      </c>
      <c r="G417" s="46">
        <v>0</v>
      </c>
      <c r="H417" s="46">
        <v>0</v>
      </c>
      <c r="I417" s="46">
        <f t="shared" si="6"/>
        <v>22</v>
      </c>
    </row>
    <row r="418" spans="1:9" x14ac:dyDescent="0.35">
      <c r="A418" t="str">
        <f>"480101"</f>
        <v>480101</v>
      </c>
      <c r="B418" t="s">
        <v>1862</v>
      </c>
      <c r="C418" s="46">
        <v>237</v>
      </c>
      <c r="D418" s="46">
        <v>0</v>
      </c>
      <c r="E418" s="46">
        <v>0</v>
      </c>
      <c r="F418" s="46">
        <v>0</v>
      </c>
      <c r="G418" s="46">
        <v>7</v>
      </c>
      <c r="H418" s="46">
        <v>33</v>
      </c>
      <c r="I418" s="46">
        <f t="shared" si="6"/>
        <v>179</v>
      </c>
    </row>
    <row r="419" spans="1:9" x14ac:dyDescent="0.35">
      <c r="A419" t="str">
        <f>"480102"</f>
        <v>480102</v>
      </c>
      <c r="B419" t="s">
        <v>1863</v>
      </c>
      <c r="C419" s="46">
        <v>235</v>
      </c>
      <c r="D419" s="46">
        <v>0</v>
      </c>
      <c r="E419" s="46">
        <v>0</v>
      </c>
      <c r="F419" s="46">
        <v>0</v>
      </c>
      <c r="G419" s="46">
        <v>21</v>
      </c>
      <c r="H419" s="46">
        <v>0</v>
      </c>
      <c r="I419" s="46">
        <f t="shared" si="6"/>
        <v>217</v>
      </c>
    </row>
    <row r="420" spans="1:9" x14ac:dyDescent="0.35">
      <c r="A420" t="str">
        <f>"480401"</f>
        <v>480401</v>
      </c>
      <c r="B420" t="s">
        <v>1864</v>
      </c>
      <c r="C420" s="46">
        <v>39</v>
      </c>
      <c r="D420" s="46">
        <v>0</v>
      </c>
      <c r="E420" s="46">
        <v>0</v>
      </c>
      <c r="F420" s="46">
        <v>0</v>
      </c>
      <c r="G420" s="46">
        <v>18</v>
      </c>
      <c r="H420" s="46">
        <v>0</v>
      </c>
      <c r="I420" s="46">
        <f t="shared" si="6"/>
        <v>48</v>
      </c>
    </row>
    <row r="421" spans="1:9" x14ac:dyDescent="0.35">
      <c r="A421" t="str">
        <f>"480404"</f>
        <v>480404</v>
      </c>
      <c r="B421" t="s">
        <v>1865</v>
      </c>
      <c r="C421" s="46">
        <v>32</v>
      </c>
      <c r="D421" s="46">
        <v>0</v>
      </c>
      <c r="E421" s="46">
        <v>0</v>
      </c>
      <c r="F421" s="46">
        <v>0</v>
      </c>
      <c r="G421" s="46">
        <v>0</v>
      </c>
      <c r="H421" s="46">
        <v>0</v>
      </c>
      <c r="I421" s="46">
        <f t="shared" si="6"/>
        <v>27</v>
      </c>
    </row>
    <row r="422" spans="1:9" x14ac:dyDescent="0.35">
      <c r="A422" t="str">
        <f>"480503"</f>
        <v>480503</v>
      </c>
      <c r="B422" t="s">
        <v>857</v>
      </c>
      <c r="C422" s="46">
        <v>114</v>
      </c>
      <c r="D422" s="46">
        <v>0</v>
      </c>
      <c r="E422" s="46">
        <v>0</v>
      </c>
      <c r="F422" s="46">
        <v>0</v>
      </c>
      <c r="G422" s="46">
        <v>0</v>
      </c>
      <c r="H422" s="46">
        <v>20</v>
      </c>
      <c r="I422" s="46">
        <f t="shared" si="6"/>
        <v>79</v>
      </c>
    </row>
    <row r="423" spans="1:9" x14ac:dyDescent="0.35">
      <c r="A423" t="str">
        <f>"480601"</f>
        <v>480601</v>
      </c>
      <c r="B423" t="s">
        <v>1866</v>
      </c>
      <c r="C423" s="46">
        <v>172</v>
      </c>
      <c r="D423" s="46">
        <v>0</v>
      </c>
      <c r="E423" s="46">
        <v>0</v>
      </c>
      <c r="F423" s="46">
        <v>0</v>
      </c>
      <c r="G423" s="46">
        <v>0</v>
      </c>
      <c r="H423" s="46">
        <v>0</v>
      </c>
      <c r="I423" s="46">
        <f t="shared" si="6"/>
        <v>146</v>
      </c>
    </row>
    <row r="424" spans="1:9" x14ac:dyDescent="0.35">
      <c r="A424" t="str">
        <f>"490101"</f>
        <v>490101</v>
      </c>
      <c r="B424" t="s">
        <v>1867</v>
      </c>
      <c r="C424" s="46">
        <v>50</v>
      </c>
      <c r="D424" s="46">
        <v>0</v>
      </c>
      <c r="E424" s="46">
        <v>0</v>
      </c>
      <c r="F424" s="46">
        <v>0</v>
      </c>
      <c r="G424" s="46">
        <v>0</v>
      </c>
      <c r="H424" s="46">
        <v>9</v>
      </c>
      <c r="I424" s="46">
        <f t="shared" si="6"/>
        <v>34</v>
      </c>
    </row>
    <row r="425" spans="1:9" x14ac:dyDescent="0.35">
      <c r="A425" t="str">
        <f>"490202"</f>
        <v>490202</v>
      </c>
      <c r="B425" t="s">
        <v>1868</v>
      </c>
      <c r="C425" s="46">
        <v>76</v>
      </c>
      <c r="D425" s="46">
        <v>0</v>
      </c>
      <c r="E425" s="46">
        <v>0</v>
      </c>
      <c r="F425" s="46">
        <v>0</v>
      </c>
      <c r="G425" s="46">
        <v>0</v>
      </c>
      <c r="H425" s="46">
        <v>0</v>
      </c>
      <c r="I425" s="46">
        <f t="shared" si="6"/>
        <v>64</v>
      </c>
    </row>
    <row r="426" spans="1:9" x14ac:dyDescent="0.35">
      <c r="A426" t="str">
        <f>"490301"</f>
        <v>490301</v>
      </c>
      <c r="B426" t="s">
        <v>864</v>
      </c>
      <c r="C426" s="46">
        <v>305</v>
      </c>
      <c r="D426" s="46">
        <v>0</v>
      </c>
      <c r="E426" s="46">
        <v>2</v>
      </c>
      <c r="F426" s="46">
        <v>0</v>
      </c>
      <c r="G426" s="46">
        <v>40</v>
      </c>
      <c r="H426" s="46">
        <v>0</v>
      </c>
      <c r="I426" s="46">
        <f t="shared" si="6"/>
        <v>294</v>
      </c>
    </row>
    <row r="427" spans="1:9" x14ac:dyDescent="0.35">
      <c r="A427" t="str">
        <f>"490501"</f>
        <v>490501</v>
      </c>
      <c r="B427" t="s">
        <v>866</v>
      </c>
      <c r="C427" s="46">
        <v>69</v>
      </c>
      <c r="D427" s="46">
        <v>0</v>
      </c>
      <c r="E427" s="46">
        <v>0</v>
      </c>
      <c r="F427" s="46">
        <v>0</v>
      </c>
      <c r="G427" s="46">
        <v>0</v>
      </c>
      <c r="H427" s="46">
        <v>3</v>
      </c>
      <c r="I427" s="46">
        <f t="shared" si="6"/>
        <v>56</v>
      </c>
    </row>
    <row r="428" spans="1:9" x14ac:dyDescent="0.35">
      <c r="A428" t="str">
        <f>"490601"</f>
        <v>490601</v>
      </c>
      <c r="B428" t="s">
        <v>1869</v>
      </c>
      <c r="C428" s="46">
        <v>157</v>
      </c>
      <c r="D428" s="46">
        <v>0</v>
      </c>
      <c r="E428" s="46">
        <v>9</v>
      </c>
      <c r="F428" s="46">
        <v>0</v>
      </c>
      <c r="G428" s="46">
        <v>0</v>
      </c>
      <c r="H428" s="46">
        <v>35</v>
      </c>
      <c r="I428" s="46">
        <f t="shared" si="6"/>
        <v>111</v>
      </c>
    </row>
    <row r="429" spans="1:9" x14ac:dyDescent="0.35">
      <c r="A429" t="str">
        <f>"490804"</f>
        <v>490804</v>
      </c>
      <c r="B429" t="s">
        <v>1870</v>
      </c>
      <c r="C429" s="46">
        <v>20</v>
      </c>
      <c r="D429" s="46">
        <v>0</v>
      </c>
      <c r="E429" s="46">
        <v>0</v>
      </c>
      <c r="F429" s="46">
        <v>0</v>
      </c>
      <c r="G429" s="46">
        <v>14</v>
      </c>
      <c r="H429" s="46">
        <v>0</v>
      </c>
      <c r="I429" s="46">
        <f t="shared" si="6"/>
        <v>28</v>
      </c>
    </row>
    <row r="430" spans="1:9" x14ac:dyDescent="0.35">
      <c r="A430" t="str">
        <f>"491200"</f>
        <v>491200</v>
      </c>
      <c r="B430" t="s">
        <v>1871</v>
      </c>
      <c r="C430" s="46">
        <v>85</v>
      </c>
      <c r="D430" s="46">
        <v>0</v>
      </c>
      <c r="E430" s="46">
        <v>2</v>
      </c>
      <c r="F430" s="46">
        <v>0</v>
      </c>
      <c r="G430" s="46">
        <v>2</v>
      </c>
      <c r="H430" s="46">
        <v>0</v>
      </c>
      <c r="I430" s="46">
        <f t="shared" si="6"/>
        <v>75</v>
      </c>
    </row>
    <row r="431" spans="1:9" x14ac:dyDescent="0.35">
      <c r="A431" t="str">
        <f>"491302"</f>
        <v>491302</v>
      </c>
      <c r="B431" t="s">
        <v>1872</v>
      </c>
      <c r="C431" s="46">
        <v>159</v>
      </c>
      <c r="D431" s="46">
        <v>0</v>
      </c>
      <c r="E431" s="46">
        <v>1</v>
      </c>
      <c r="F431" s="46">
        <v>0</v>
      </c>
      <c r="G431" s="46">
        <v>11</v>
      </c>
      <c r="H431" s="46">
        <v>0</v>
      </c>
      <c r="I431" s="46">
        <f t="shared" si="6"/>
        <v>145</v>
      </c>
    </row>
    <row r="432" spans="1:9" x14ac:dyDescent="0.35">
      <c r="A432" t="str">
        <f>"491401"</f>
        <v>491401</v>
      </c>
      <c r="B432" t="s">
        <v>876</v>
      </c>
      <c r="C432" s="46">
        <v>69</v>
      </c>
      <c r="D432" s="46">
        <v>0</v>
      </c>
      <c r="E432" s="46">
        <v>1</v>
      </c>
      <c r="F432" s="46">
        <v>0</v>
      </c>
      <c r="G432" s="46">
        <v>0</v>
      </c>
      <c r="H432" s="46">
        <v>5</v>
      </c>
      <c r="I432" s="46">
        <f t="shared" si="6"/>
        <v>55</v>
      </c>
    </row>
    <row r="433" spans="1:9" x14ac:dyDescent="0.35">
      <c r="A433" t="str">
        <f>"491501"</f>
        <v>491501</v>
      </c>
      <c r="B433" t="s">
        <v>1873</v>
      </c>
      <c r="C433" s="46">
        <v>71</v>
      </c>
      <c r="D433" s="46">
        <v>0</v>
      </c>
      <c r="E433" s="46">
        <v>0</v>
      </c>
      <c r="F433" s="46">
        <v>0</v>
      </c>
      <c r="G433" s="46">
        <v>0</v>
      </c>
      <c r="H433" s="46">
        <v>0</v>
      </c>
      <c r="I433" s="46">
        <f t="shared" si="6"/>
        <v>60</v>
      </c>
    </row>
    <row r="434" spans="1:9" x14ac:dyDescent="0.35">
      <c r="A434" t="str">
        <f>"491700"</f>
        <v>491700</v>
      </c>
      <c r="B434" t="s">
        <v>1874</v>
      </c>
      <c r="C434" s="46">
        <v>249</v>
      </c>
      <c r="D434" s="46">
        <v>0</v>
      </c>
      <c r="E434" s="46">
        <v>70</v>
      </c>
      <c r="F434" s="46">
        <v>0</v>
      </c>
      <c r="G434" s="46">
        <v>34</v>
      </c>
      <c r="H434" s="46">
        <v>30</v>
      </c>
      <c r="I434" s="46">
        <f t="shared" si="6"/>
        <v>274</v>
      </c>
    </row>
    <row r="435" spans="1:9" x14ac:dyDescent="0.35">
      <c r="A435" t="str">
        <f>"500101"</f>
        <v>500101</v>
      </c>
      <c r="B435" t="s">
        <v>1437</v>
      </c>
      <c r="C435" s="46">
        <v>464</v>
      </c>
      <c r="D435" s="46">
        <v>0</v>
      </c>
      <c r="E435" s="46">
        <v>0</v>
      </c>
      <c r="F435" s="46">
        <v>0</v>
      </c>
      <c r="G435" s="46">
        <v>37</v>
      </c>
      <c r="H435" s="46">
        <v>0</v>
      </c>
      <c r="I435" s="46">
        <f t="shared" si="6"/>
        <v>425</v>
      </c>
    </row>
    <row r="436" spans="1:9" x14ac:dyDescent="0.35">
      <c r="A436" t="str">
        <f>"500108"</f>
        <v>500108</v>
      </c>
      <c r="B436" t="s">
        <v>1875</v>
      </c>
      <c r="C436" s="46">
        <v>134</v>
      </c>
      <c r="D436" s="46">
        <v>0</v>
      </c>
      <c r="E436" s="46">
        <v>0</v>
      </c>
      <c r="F436" s="46">
        <v>0</v>
      </c>
      <c r="G436" s="46">
        <v>0</v>
      </c>
      <c r="H436" s="46">
        <v>0</v>
      </c>
      <c r="I436" s="46">
        <f t="shared" si="6"/>
        <v>113</v>
      </c>
    </row>
    <row r="437" spans="1:9" x14ac:dyDescent="0.35">
      <c r="A437" t="str">
        <f>"500201"</f>
        <v>500201</v>
      </c>
      <c r="B437" t="s">
        <v>1876</v>
      </c>
      <c r="C437" s="46">
        <v>523</v>
      </c>
      <c r="D437" s="46">
        <v>0</v>
      </c>
      <c r="E437" s="46">
        <v>1</v>
      </c>
      <c r="F437" s="46">
        <v>0</v>
      </c>
      <c r="G437" s="46">
        <v>21</v>
      </c>
      <c r="H437" s="46">
        <v>82</v>
      </c>
      <c r="I437" s="46">
        <f t="shared" si="6"/>
        <v>393</v>
      </c>
    </row>
    <row r="438" spans="1:9" x14ac:dyDescent="0.35">
      <c r="A438" t="str">
        <f>"500301"</f>
        <v>500301</v>
      </c>
      <c r="B438" t="s">
        <v>1877</v>
      </c>
      <c r="C438" s="46">
        <v>177</v>
      </c>
      <c r="D438" s="46">
        <v>0</v>
      </c>
      <c r="E438" s="46">
        <v>0</v>
      </c>
      <c r="F438" s="46">
        <v>0</v>
      </c>
      <c r="G438" s="46">
        <v>0</v>
      </c>
      <c r="H438" s="46">
        <v>30</v>
      </c>
      <c r="I438" s="46">
        <f t="shared" si="6"/>
        <v>124</v>
      </c>
    </row>
    <row r="439" spans="1:9" x14ac:dyDescent="0.35">
      <c r="A439" t="str">
        <f>"500304"</f>
        <v>500304</v>
      </c>
      <c r="B439" t="s">
        <v>1878</v>
      </c>
      <c r="C439" s="46">
        <v>183</v>
      </c>
      <c r="D439" s="46">
        <v>0</v>
      </c>
      <c r="E439" s="46">
        <v>0</v>
      </c>
      <c r="F439" s="46">
        <v>0</v>
      </c>
      <c r="G439" s="46">
        <v>20</v>
      </c>
      <c r="H439" s="46">
        <v>0</v>
      </c>
      <c r="I439" s="46">
        <f t="shared" si="6"/>
        <v>172</v>
      </c>
    </row>
    <row r="440" spans="1:9" x14ac:dyDescent="0.35">
      <c r="A440" t="str">
        <f>"500308"</f>
        <v>500308</v>
      </c>
      <c r="B440" t="s">
        <v>1879</v>
      </c>
      <c r="C440" s="46">
        <v>142</v>
      </c>
      <c r="D440" s="46">
        <v>0</v>
      </c>
      <c r="E440" s="46">
        <v>0</v>
      </c>
      <c r="F440" s="46">
        <v>0</v>
      </c>
      <c r="G440" s="46">
        <v>39</v>
      </c>
      <c r="H440" s="46">
        <v>0</v>
      </c>
      <c r="I440" s="46">
        <f t="shared" si="6"/>
        <v>153</v>
      </c>
    </row>
    <row r="441" spans="1:9" x14ac:dyDescent="0.35">
      <c r="A441" t="str">
        <f>"500401"</f>
        <v>500401</v>
      </c>
      <c r="B441" t="s">
        <v>1880</v>
      </c>
      <c r="C441" s="46">
        <v>201</v>
      </c>
      <c r="D441" s="46">
        <v>0</v>
      </c>
      <c r="E441" s="46">
        <v>0</v>
      </c>
      <c r="F441" s="46">
        <v>0</v>
      </c>
      <c r="G441" s="46">
        <v>357</v>
      </c>
      <c r="H441" s="46">
        <v>14</v>
      </c>
      <c r="I441" s="46">
        <f t="shared" si="6"/>
        <v>462</v>
      </c>
    </row>
    <row r="442" spans="1:9" x14ac:dyDescent="0.35">
      <c r="A442" t="str">
        <f>"500402"</f>
        <v>500402</v>
      </c>
      <c r="B442" t="s">
        <v>1881</v>
      </c>
      <c r="C442" s="46">
        <v>779</v>
      </c>
      <c r="D442" s="46">
        <v>0</v>
      </c>
      <c r="E442" s="46">
        <v>0</v>
      </c>
      <c r="F442" s="46">
        <v>0</v>
      </c>
      <c r="G442" s="46">
        <v>2937</v>
      </c>
      <c r="H442" s="46">
        <v>90</v>
      </c>
      <c r="I442" s="46">
        <f t="shared" si="6"/>
        <v>3082</v>
      </c>
    </row>
    <row r="443" spans="1:9" x14ac:dyDescent="0.35">
      <c r="A443" t="str">
        <f>"510101"</f>
        <v>510101</v>
      </c>
      <c r="B443" t="s">
        <v>897</v>
      </c>
      <c r="C443" s="46">
        <v>52</v>
      </c>
      <c r="D443" s="46">
        <v>0</v>
      </c>
      <c r="E443" s="46">
        <v>0</v>
      </c>
      <c r="F443" s="46">
        <v>0</v>
      </c>
      <c r="G443" s="46">
        <v>0</v>
      </c>
      <c r="H443" s="46">
        <v>2</v>
      </c>
      <c r="I443" s="46">
        <f t="shared" si="6"/>
        <v>42</v>
      </c>
    </row>
    <row r="444" spans="1:9" x14ac:dyDescent="0.35">
      <c r="A444" t="str">
        <f>"510201"</f>
        <v>510201</v>
      </c>
      <c r="B444" t="s">
        <v>1882</v>
      </c>
      <c r="C444" s="46">
        <v>73</v>
      </c>
      <c r="D444" s="46">
        <v>0</v>
      </c>
      <c r="E444" s="46">
        <v>0</v>
      </c>
      <c r="F444" s="46">
        <v>0</v>
      </c>
      <c r="G444" s="46">
        <v>5</v>
      </c>
      <c r="H444" s="46">
        <v>0</v>
      </c>
      <c r="I444" s="46">
        <f t="shared" si="6"/>
        <v>66</v>
      </c>
    </row>
    <row r="445" spans="1:9" x14ac:dyDescent="0.35">
      <c r="A445" t="str">
        <f>"510401"</f>
        <v>510401</v>
      </c>
      <c r="B445" t="s">
        <v>1883</v>
      </c>
      <c r="C445" s="46">
        <v>18</v>
      </c>
      <c r="D445" s="46">
        <v>0</v>
      </c>
      <c r="E445" s="46">
        <v>0</v>
      </c>
      <c r="F445" s="46">
        <v>0</v>
      </c>
      <c r="G445" s="46">
        <v>0</v>
      </c>
      <c r="H445" s="46">
        <v>2</v>
      </c>
      <c r="I445" s="46">
        <f t="shared" si="6"/>
        <v>13</v>
      </c>
    </row>
    <row r="446" spans="1:9" x14ac:dyDescent="0.35">
      <c r="A446" t="str">
        <f>"510501"</f>
        <v>510501</v>
      </c>
      <c r="B446" t="s">
        <v>1884</v>
      </c>
      <c r="C446" s="46">
        <v>31</v>
      </c>
      <c r="D446" s="46">
        <v>0</v>
      </c>
      <c r="E446" s="46">
        <v>0</v>
      </c>
      <c r="F446" s="46">
        <v>0</v>
      </c>
      <c r="G446" s="46">
        <v>0</v>
      </c>
      <c r="H446" s="46">
        <v>0</v>
      </c>
      <c r="I446" s="46">
        <f t="shared" si="6"/>
        <v>26</v>
      </c>
    </row>
    <row r="447" spans="1:9" x14ac:dyDescent="0.35">
      <c r="A447" t="str">
        <f>"511101"</f>
        <v>511101</v>
      </c>
      <c r="B447" t="s">
        <v>1527</v>
      </c>
      <c r="C447" s="46">
        <v>91</v>
      </c>
      <c r="D447" s="46">
        <v>0</v>
      </c>
      <c r="E447" s="46">
        <v>0</v>
      </c>
      <c r="F447" s="46">
        <v>0</v>
      </c>
      <c r="G447" s="46">
        <v>15</v>
      </c>
      <c r="H447" s="46">
        <v>20</v>
      </c>
      <c r="I447" s="46">
        <f t="shared" si="6"/>
        <v>73</v>
      </c>
    </row>
    <row r="448" spans="1:9" x14ac:dyDescent="0.35">
      <c r="A448" t="str">
        <f>"511201"</f>
        <v>511201</v>
      </c>
      <c r="B448" t="s">
        <v>1885</v>
      </c>
      <c r="C448" s="46">
        <v>22</v>
      </c>
      <c r="D448" s="46">
        <v>0</v>
      </c>
      <c r="E448" s="46">
        <v>0</v>
      </c>
      <c r="F448" s="46">
        <v>0</v>
      </c>
      <c r="G448" s="46">
        <v>0</v>
      </c>
      <c r="H448" s="46">
        <v>0</v>
      </c>
      <c r="I448" s="46">
        <f t="shared" si="6"/>
        <v>18</v>
      </c>
    </row>
    <row r="449" spans="1:9" x14ac:dyDescent="0.35">
      <c r="A449" t="str">
        <f>"511301"</f>
        <v>511301</v>
      </c>
      <c r="B449" t="s">
        <v>1886</v>
      </c>
      <c r="C449" s="46">
        <v>19</v>
      </c>
      <c r="D449" s="46">
        <v>0</v>
      </c>
      <c r="E449" s="46">
        <v>0</v>
      </c>
      <c r="F449" s="46">
        <v>0</v>
      </c>
      <c r="G449" s="46">
        <v>0</v>
      </c>
      <c r="H449" s="46">
        <v>0</v>
      </c>
      <c r="I449" s="46">
        <f t="shared" si="6"/>
        <v>16</v>
      </c>
    </row>
    <row r="450" spans="1:9" x14ac:dyDescent="0.35">
      <c r="A450" t="str">
        <f>"511602"</f>
        <v>511602</v>
      </c>
      <c r="B450" t="s">
        <v>1887</v>
      </c>
      <c r="C450" s="46">
        <v>46</v>
      </c>
      <c r="D450" s="46">
        <v>0</v>
      </c>
      <c r="E450" s="46">
        <v>0</v>
      </c>
      <c r="F450" s="46">
        <v>0</v>
      </c>
      <c r="G450" s="46">
        <v>0</v>
      </c>
      <c r="H450" s="46">
        <v>0</v>
      </c>
      <c r="I450" s="46">
        <f t="shared" ref="I450:I513" si="7">MAX(TRUNC((C450+D450+E450+F450+G450-H450)*0.85,0),0)</f>
        <v>39</v>
      </c>
    </row>
    <row r="451" spans="1:9" x14ac:dyDescent="0.35">
      <c r="A451" t="str">
        <f>"511901"</f>
        <v>511901</v>
      </c>
      <c r="B451" t="s">
        <v>1888</v>
      </c>
      <c r="C451" s="46">
        <v>48</v>
      </c>
      <c r="D451" s="46">
        <v>0</v>
      </c>
      <c r="E451" s="46">
        <v>0</v>
      </c>
      <c r="F451" s="46">
        <v>0</v>
      </c>
      <c r="G451" s="46">
        <v>0</v>
      </c>
      <c r="H451" s="46">
        <v>0</v>
      </c>
      <c r="I451" s="46">
        <f t="shared" si="7"/>
        <v>40</v>
      </c>
    </row>
    <row r="452" spans="1:9" x14ac:dyDescent="0.35">
      <c r="A452" t="str">
        <f>"512001"</f>
        <v>512001</v>
      </c>
      <c r="B452" t="s">
        <v>1889</v>
      </c>
      <c r="C452" s="46">
        <v>152</v>
      </c>
      <c r="D452" s="46">
        <v>0</v>
      </c>
      <c r="E452" s="46">
        <v>0</v>
      </c>
      <c r="F452" s="46">
        <v>0</v>
      </c>
      <c r="G452" s="46">
        <v>29</v>
      </c>
      <c r="H452" s="46">
        <v>0</v>
      </c>
      <c r="I452" s="46">
        <f t="shared" si="7"/>
        <v>153</v>
      </c>
    </row>
    <row r="453" spans="1:9" x14ac:dyDescent="0.35">
      <c r="A453" t="str">
        <f>"512101"</f>
        <v>512101</v>
      </c>
      <c r="B453" t="s">
        <v>1535</v>
      </c>
      <c r="C453" s="46">
        <v>21</v>
      </c>
      <c r="D453" s="46">
        <v>0</v>
      </c>
      <c r="E453" s="46">
        <v>0</v>
      </c>
      <c r="F453" s="46">
        <v>0</v>
      </c>
      <c r="G453" s="46">
        <v>0</v>
      </c>
      <c r="H453" s="46">
        <v>0</v>
      </c>
      <c r="I453" s="46">
        <f t="shared" si="7"/>
        <v>17</v>
      </c>
    </row>
    <row r="454" spans="1:9" x14ac:dyDescent="0.35">
      <c r="A454" t="str">
        <f>"512201"</f>
        <v>512201</v>
      </c>
      <c r="B454" t="s">
        <v>1890</v>
      </c>
      <c r="C454" s="46">
        <v>57</v>
      </c>
      <c r="D454" s="46">
        <v>0</v>
      </c>
      <c r="E454" s="46">
        <v>0</v>
      </c>
      <c r="F454" s="46">
        <v>0</v>
      </c>
      <c r="G454" s="46">
        <v>0</v>
      </c>
      <c r="H454" s="46">
        <v>2</v>
      </c>
      <c r="I454" s="46">
        <f t="shared" si="7"/>
        <v>46</v>
      </c>
    </row>
    <row r="455" spans="1:9" x14ac:dyDescent="0.35">
      <c r="A455" t="str">
        <f>"512300"</f>
        <v>512300</v>
      </c>
      <c r="B455" t="s">
        <v>1891</v>
      </c>
      <c r="C455" s="46">
        <v>126</v>
      </c>
      <c r="D455" s="46">
        <v>0</v>
      </c>
      <c r="E455" s="46">
        <v>0</v>
      </c>
      <c r="F455" s="46">
        <v>0</v>
      </c>
      <c r="G455" s="46">
        <v>0</v>
      </c>
      <c r="H455" s="46">
        <v>1</v>
      </c>
      <c r="I455" s="46">
        <f t="shared" si="7"/>
        <v>106</v>
      </c>
    </row>
    <row r="456" spans="1:9" x14ac:dyDescent="0.35">
      <c r="A456" t="str">
        <f>"512404"</f>
        <v>512404</v>
      </c>
      <c r="B456" t="s">
        <v>1892</v>
      </c>
      <c r="C456" s="46">
        <v>42</v>
      </c>
      <c r="D456" s="46">
        <v>0</v>
      </c>
      <c r="E456" s="46">
        <v>0</v>
      </c>
      <c r="F456" s="46">
        <v>0</v>
      </c>
      <c r="G456" s="46">
        <v>0</v>
      </c>
      <c r="H456" s="46">
        <v>0</v>
      </c>
      <c r="I456" s="46">
        <f t="shared" si="7"/>
        <v>35</v>
      </c>
    </row>
    <row r="457" spans="1:9" x14ac:dyDescent="0.35">
      <c r="A457" t="str">
        <f>"512501"</f>
        <v>512501</v>
      </c>
      <c r="B457" t="s">
        <v>1893</v>
      </c>
      <c r="C457" s="46">
        <v>27</v>
      </c>
      <c r="D457" s="46">
        <v>0</v>
      </c>
      <c r="E457" s="46">
        <v>0</v>
      </c>
      <c r="F457" s="46">
        <v>0</v>
      </c>
      <c r="G457" s="46">
        <v>0</v>
      </c>
      <c r="H457" s="46">
        <v>0</v>
      </c>
      <c r="I457" s="46">
        <f t="shared" si="7"/>
        <v>22</v>
      </c>
    </row>
    <row r="458" spans="1:9" x14ac:dyDescent="0.35">
      <c r="A458" t="str">
        <f>"512902"</f>
        <v>512902</v>
      </c>
      <c r="B458" t="s">
        <v>1894</v>
      </c>
      <c r="C458" s="46">
        <v>100</v>
      </c>
      <c r="D458" s="46">
        <v>0</v>
      </c>
      <c r="E458" s="46">
        <v>0</v>
      </c>
      <c r="F458" s="46">
        <v>0</v>
      </c>
      <c r="G458" s="46">
        <v>0</v>
      </c>
      <c r="H458" s="46">
        <v>0</v>
      </c>
      <c r="I458" s="46">
        <f t="shared" si="7"/>
        <v>85</v>
      </c>
    </row>
    <row r="459" spans="1:9" x14ac:dyDescent="0.35">
      <c r="A459" t="str">
        <f>"513102"</f>
        <v>513102</v>
      </c>
      <c r="B459" t="s">
        <v>1895</v>
      </c>
      <c r="C459" s="46">
        <v>40</v>
      </c>
      <c r="D459" s="46">
        <v>0</v>
      </c>
      <c r="E459" s="46">
        <v>0</v>
      </c>
      <c r="F459" s="46">
        <v>0</v>
      </c>
      <c r="G459" s="46">
        <v>0</v>
      </c>
      <c r="H459" s="46">
        <v>0</v>
      </c>
      <c r="I459" s="46">
        <f t="shared" si="7"/>
        <v>34</v>
      </c>
    </row>
    <row r="460" spans="1:9" x14ac:dyDescent="0.35">
      <c r="A460" t="str">
        <f>"520101"</f>
        <v>520101</v>
      </c>
      <c r="B460" t="s">
        <v>1896</v>
      </c>
      <c r="C460" s="46">
        <v>225</v>
      </c>
      <c r="D460" s="46">
        <v>0</v>
      </c>
      <c r="E460" s="46">
        <v>0</v>
      </c>
      <c r="F460" s="46">
        <v>0</v>
      </c>
      <c r="G460" s="46">
        <v>0</v>
      </c>
      <c r="H460" s="46">
        <v>0</v>
      </c>
      <c r="I460" s="46">
        <f t="shared" si="7"/>
        <v>191</v>
      </c>
    </row>
    <row r="461" spans="1:9" x14ac:dyDescent="0.35">
      <c r="A461" t="str">
        <f>"520302"</f>
        <v>520302</v>
      </c>
      <c r="B461" t="s">
        <v>1897</v>
      </c>
      <c r="C461" s="46">
        <v>0</v>
      </c>
      <c r="D461" s="46">
        <v>530</v>
      </c>
      <c r="E461" s="46">
        <v>2</v>
      </c>
      <c r="F461" s="46">
        <v>0</v>
      </c>
      <c r="G461" s="46">
        <v>70</v>
      </c>
      <c r="H461" s="46">
        <v>37</v>
      </c>
      <c r="I461" s="46">
        <f t="shared" si="7"/>
        <v>480</v>
      </c>
    </row>
    <row r="462" spans="1:9" x14ac:dyDescent="0.35">
      <c r="A462" t="str">
        <f>"520401"</f>
        <v>520401</v>
      </c>
      <c r="B462" t="s">
        <v>1898</v>
      </c>
      <c r="C462" s="46">
        <v>68</v>
      </c>
      <c r="D462" s="46">
        <v>0</v>
      </c>
      <c r="E462" s="46">
        <v>0</v>
      </c>
      <c r="F462" s="46">
        <v>0</v>
      </c>
      <c r="G462" s="46">
        <v>4</v>
      </c>
      <c r="H462" s="46">
        <v>0</v>
      </c>
      <c r="I462" s="46">
        <f t="shared" si="7"/>
        <v>61</v>
      </c>
    </row>
    <row r="463" spans="1:9" x14ac:dyDescent="0.35">
      <c r="A463" t="str">
        <f>"520601"</f>
        <v>520601</v>
      </c>
      <c r="B463" t="s">
        <v>1899</v>
      </c>
      <c r="C463" s="46">
        <v>9</v>
      </c>
      <c r="D463" s="46">
        <v>0</v>
      </c>
      <c r="E463" s="46">
        <v>0</v>
      </c>
      <c r="F463" s="46">
        <v>0</v>
      </c>
      <c r="G463" s="46">
        <v>0</v>
      </c>
      <c r="H463" s="46">
        <v>0</v>
      </c>
      <c r="I463" s="46">
        <f t="shared" si="7"/>
        <v>7</v>
      </c>
    </row>
    <row r="464" spans="1:9" x14ac:dyDescent="0.35">
      <c r="A464" t="str">
        <f>"520701"</f>
        <v>520701</v>
      </c>
      <c r="B464" t="s">
        <v>1900</v>
      </c>
      <c r="C464" s="46">
        <v>45</v>
      </c>
      <c r="D464" s="46">
        <v>0</v>
      </c>
      <c r="E464" s="46">
        <v>0</v>
      </c>
      <c r="F464" s="46">
        <v>0</v>
      </c>
      <c r="G464" s="46">
        <v>0</v>
      </c>
      <c r="H464" s="46">
        <v>0</v>
      </c>
      <c r="I464" s="46">
        <f t="shared" si="7"/>
        <v>38</v>
      </c>
    </row>
    <row r="465" spans="1:9" x14ac:dyDescent="0.35">
      <c r="A465" t="str">
        <f>"521200"</f>
        <v>521200</v>
      </c>
      <c r="B465" t="s">
        <v>941</v>
      </c>
      <c r="C465" s="46">
        <v>99</v>
      </c>
      <c r="D465" s="46">
        <v>0</v>
      </c>
      <c r="E465" s="46">
        <v>0</v>
      </c>
      <c r="F465" s="46">
        <v>0</v>
      </c>
      <c r="G465" s="46">
        <v>0</v>
      </c>
      <c r="H465" s="46">
        <v>0</v>
      </c>
      <c r="I465" s="46">
        <f t="shared" si="7"/>
        <v>84</v>
      </c>
    </row>
    <row r="466" spans="1:9" x14ac:dyDescent="0.35">
      <c r="A466" t="str">
        <f>"521301"</f>
        <v>521301</v>
      </c>
      <c r="B466" t="s">
        <v>1901</v>
      </c>
      <c r="C466" s="46">
        <v>266</v>
      </c>
      <c r="D466" s="46">
        <v>0</v>
      </c>
      <c r="E466" s="46">
        <v>0</v>
      </c>
      <c r="F466" s="46">
        <v>0</v>
      </c>
      <c r="G466" s="46">
        <v>45</v>
      </c>
      <c r="H466" s="46">
        <v>18</v>
      </c>
      <c r="I466" s="46">
        <f t="shared" si="7"/>
        <v>249</v>
      </c>
    </row>
    <row r="467" spans="1:9" x14ac:dyDescent="0.35">
      <c r="A467" t="str">
        <f>"521401"</f>
        <v>521401</v>
      </c>
      <c r="B467" t="s">
        <v>1902</v>
      </c>
      <c r="C467" s="46">
        <v>185</v>
      </c>
      <c r="D467" s="46">
        <v>0</v>
      </c>
      <c r="E467" s="46">
        <v>0</v>
      </c>
      <c r="F467" s="46">
        <v>0</v>
      </c>
      <c r="G467" s="46">
        <v>0</v>
      </c>
      <c r="H467" s="46">
        <v>0</v>
      </c>
      <c r="I467" s="46">
        <f t="shared" si="7"/>
        <v>157</v>
      </c>
    </row>
    <row r="468" spans="1:9" x14ac:dyDescent="0.35">
      <c r="A468" t="str">
        <f>"521701"</f>
        <v>521701</v>
      </c>
      <c r="B468" t="s">
        <v>947</v>
      </c>
      <c r="C468" s="46">
        <v>95</v>
      </c>
      <c r="D468" s="46">
        <v>0</v>
      </c>
      <c r="E468" s="46">
        <v>0</v>
      </c>
      <c r="F468" s="46">
        <v>0</v>
      </c>
      <c r="G468" s="46">
        <v>0</v>
      </c>
      <c r="H468" s="46">
        <v>6</v>
      </c>
      <c r="I468" s="46">
        <f t="shared" si="7"/>
        <v>75</v>
      </c>
    </row>
    <row r="469" spans="1:9" x14ac:dyDescent="0.35">
      <c r="A469" t="str">
        <f>"521800"</f>
        <v>521800</v>
      </c>
      <c r="B469" t="s">
        <v>949</v>
      </c>
      <c r="C469" s="46">
        <v>400</v>
      </c>
      <c r="D469" s="46">
        <v>0</v>
      </c>
      <c r="E469" s="46">
        <v>0</v>
      </c>
      <c r="F469" s="46">
        <v>0</v>
      </c>
      <c r="G469" s="46">
        <v>34</v>
      </c>
      <c r="H469" s="46">
        <v>42</v>
      </c>
      <c r="I469" s="46">
        <f t="shared" si="7"/>
        <v>333</v>
      </c>
    </row>
    <row r="470" spans="1:9" x14ac:dyDescent="0.35">
      <c r="A470" t="str">
        <f>"522001"</f>
        <v>522001</v>
      </c>
      <c r="B470" t="s">
        <v>1462</v>
      </c>
      <c r="C470" s="46">
        <v>64</v>
      </c>
      <c r="D470" s="46">
        <v>0</v>
      </c>
      <c r="E470" s="46">
        <v>0</v>
      </c>
      <c r="F470" s="46">
        <v>0</v>
      </c>
      <c r="G470" s="46">
        <v>0</v>
      </c>
      <c r="H470" s="46">
        <v>2</v>
      </c>
      <c r="I470" s="46">
        <f t="shared" si="7"/>
        <v>52</v>
      </c>
    </row>
    <row r="471" spans="1:9" x14ac:dyDescent="0.35">
      <c r="A471" t="str">
        <f>"522101"</f>
        <v>522101</v>
      </c>
      <c r="B471" t="s">
        <v>1903</v>
      </c>
      <c r="C471" s="46">
        <v>54</v>
      </c>
      <c r="D471" s="46">
        <v>0</v>
      </c>
      <c r="E471" s="46">
        <v>0</v>
      </c>
      <c r="F471" s="46">
        <v>0</v>
      </c>
      <c r="G471" s="46">
        <v>46</v>
      </c>
      <c r="H471" s="46">
        <v>0</v>
      </c>
      <c r="I471" s="46">
        <f t="shared" si="7"/>
        <v>85</v>
      </c>
    </row>
    <row r="472" spans="1:9" x14ac:dyDescent="0.35">
      <c r="A472" t="str">
        <f>"530101"</f>
        <v>530101</v>
      </c>
      <c r="B472" t="s">
        <v>1509</v>
      </c>
      <c r="C472" s="46">
        <v>34</v>
      </c>
      <c r="D472" s="46">
        <v>0</v>
      </c>
      <c r="E472" s="46">
        <v>0</v>
      </c>
      <c r="F472" s="46">
        <v>0</v>
      </c>
      <c r="G472" s="46">
        <v>0</v>
      </c>
      <c r="H472" s="46">
        <v>0</v>
      </c>
      <c r="I472" s="46">
        <f t="shared" si="7"/>
        <v>28</v>
      </c>
    </row>
    <row r="473" spans="1:9" x14ac:dyDescent="0.35">
      <c r="A473" t="str">
        <f>"530202"</f>
        <v>530202</v>
      </c>
      <c r="B473" t="s">
        <v>1904</v>
      </c>
      <c r="C473" s="46">
        <v>149</v>
      </c>
      <c r="D473" s="46">
        <v>0</v>
      </c>
      <c r="E473" s="46">
        <v>0</v>
      </c>
      <c r="F473" s="46">
        <v>0</v>
      </c>
      <c r="G473" s="46">
        <v>7</v>
      </c>
      <c r="H473" s="46">
        <v>0</v>
      </c>
      <c r="I473" s="46">
        <f t="shared" si="7"/>
        <v>132</v>
      </c>
    </row>
    <row r="474" spans="1:9" x14ac:dyDescent="0.35">
      <c r="A474" t="str">
        <f>"530301"</f>
        <v>530301</v>
      </c>
      <c r="B474" t="s">
        <v>1905</v>
      </c>
      <c r="C474" s="46">
        <v>294</v>
      </c>
      <c r="D474" s="46">
        <v>0</v>
      </c>
      <c r="E474" s="46">
        <v>0</v>
      </c>
      <c r="F474" s="46">
        <v>0</v>
      </c>
      <c r="G474" s="46">
        <v>22</v>
      </c>
      <c r="H474" s="46">
        <v>0</v>
      </c>
      <c r="I474" s="46">
        <f t="shared" si="7"/>
        <v>268</v>
      </c>
    </row>
    <row r="475" spans="1:9" x14ac:dyDescent="0.35">
      <c r="A475" t="str">
        <f>"530501"</f>
        <v>530501</v>
      </c>
      <c r="B475" t="s">
        <v>1906</v>
      </c>
      <c r="C475" s="46">
        <v>144</v>
      </c>
      <c r="D475" s="46">
        <v>0</v>
      </c>
      <c r="E475" s="46">
        <v>0</v>
      </c>
      <c r="F475" s="46">
        <v>0</v>
      </c>
      <c r="G475" s="46">
        <v>0</v>
      </c>
      <c r="H475" s="46">
        <v>0</v>
      </c>
      <c r="I475" s="46">
        <f t="shared" si="7"/>
        <v>122</v>
      </c>
    </row>
    <row r="476" spans="1:9" x14ac:dyDescent="0.35">
      <c r="A476" t="str">
        <f>"530515"</f>
        <v>530515</v>
      </c>
      <c r="B476" t="s">
        <v>1907</v>
      </c>
      <c r="C476" s="46">
        <v>194</v>
      </c>
      <c r="D476" s="46">
        <v>0</v>
      </c>
      <c r="E476" s="46">
        <v>0</v>
      </c>
      <c r="F476" s="46">
        <v>0</v>
      </c>
      <c r="G476" s="46">
        <v>0</v>
      </c>
      <c r="H476" s="46">
        <v>0</v>
      </c>
      <c r="I476" s="46">
        <f t="shared" si="7"/>
        <v>164</v>
      </c>
    </row>
    <row r="477" spans="1:9" x14ac:dyDescent="0.35">
      <c r="A477" t="str">
        <f>"530600"</f>
        <v>530600</v>
      </c>
      <c r="B477" t="s">
        <v>1908</v>
      </c>
      <c r="C477" s="46">
        <v>593</v>
      </c>
      <c r="D477" s="46">
        <v>0</v>
      </c>
      <c r="E477" s="46">
        <v>50</v>
      </c>
      <c r="F477" s="46">
        <v>0</v>
      </c>
      <c r="G477" s="46">
        <v>13</v>
      </c>
      <c r="H477" s="46">
        <v>200</v>
      </c>
      <c r="I477" s="46">
        <f t="shared" si="7"/>
        <v>387</v>
      </c>
    </row>
    <row r="478" spans="1:9" x14ac:dyDescent="0.35">
      <c r="A478" t="str">
        <f>"540801"</f>
        <v>540801</v>
      </c>
      <c r="B478" t="s">
        <v>1909</v>
      </c>
      <c r="C478" s="46">
        <v>23</v>
      </c>
      <c r="D478" s="46">
        <v>0</v>
      </c>
      <c r="E478" s="46">
        <v>0</v>
      </c>
      <c r="F478" s="46">
        <v>0</v>
      </c>
      <c r="G478" s="46">
        <v>0</v>
      </c>
      <c r="H478" s="46">
        <v>0</v>
      </c>
      <c r="I478" s="46">
        <f t="shared" si="7"/>
        <v>19</v>
      </c>
    </row>
    <row r="479" spans="1:9" x14ac:dyDescent="0.35">
      <c r="A479" t="str">
        <f>"540901"</f>
        <v>540901</v>
      </c>
      <c r="B479" t="s">
        <v>1910</v>
      </c>
      <c r="C479" s="46">
        <v>10</v>
      </c>
      <c r="D479" s="46">
        <v>0</v>
      </c>
      <c r="E479" s="46">
        <v>0</v>
      </c>
      <c r="F479" s="46">
        <v>0</v>
      </c>
      <c r="G479" s="46">
        <v>0</v>
      </c>
      <c r="H479" s="46">
        <v>0</v>
      </c>
      <c r="I479" s="46">
        <f t="shared" si="7"/>
        <v>8</v>
      </c>
    </row>
    <row r="480" spans="1:9" x14ac:dyDescent="0.35">
      <c r="A480" t="str">
        <f>"541001"</f>
        <v>541001</v>
      </c>
      <c r="B480" t="s">
        <v>1911</v>
      </c>
      <c r="C480" s="46">
        <v>47</v>
      </c>
      <c r="D480" s="46">
        <v>0</v>
      </c>
      <c r="E480" s="46">
        <v>0</v>
      </c>
      <c r="F480" s="46">
        <v>0</v>
      </c>
      <c r="G480" s="46">
        <v>3</v>
      </c>
      <c r="H480" s="46">
        <v>0</v>
      </c>
      <c r="I480" s="46">
        <f t="shared" si="7"/>
        <v>42</v>
      </c>
    </row>
    <row r="481" spans="1:9" x14ac:dyDescent="0.35">
      <c r="A481" t="str">
        <f>"541102"</f>
        <v>541102</v>
      </c>
      <c r="B481" t="s">
        <v>1912</v>
      </c>
      <c r="C481" s="46">
        <v>119</v>
      </c>
      <c r="D481" s="46">
        <v>0</v>
      </c>
      <c r="E481" s="46">
        <v>0</v>
      </c>
      <c r="F481" s="46">
        <v>0</v>
      </c>
      <c r="G481" s="46">
        <v>0</v>
      </c>
      <c r="H481" s="46">
        <v>0</v>
      </c>
      <c r="I481" s="46">
        <f t="shared" si="7"/>
        <v>101</v>
      </c>
    </row>
    <row r="482" spans="1:9" x14ac:dyDescent="0.35">
      <c r="A482" t="str">
        <f>"541201"</f>
        <v>541201</v>
      </c>
      <c r="B482" t="s">
        <v>1913</v>
      </c>
      <c r="C482" s="46">
        <v>63</v>
      </c>
      <c r="D482" s="46">
        <v>0</v>
      </c>
      <c r="E482" s="46">
        <v>0</v>
      </c>
      <c r="F482" s="46">
        <v>0</v>
      </c>
      <c r="G482" s="46">
        <v>0</v>
      </c>
      <c r="H482" s="46">
        <v>2</v>
      </c>
      <c r="I482" s="46">
        <f t="shared" si="7"/>
        <v>51</v>
      </c>
    </row>
    <row r="483" spans="1:9" x14ac:dyDescent="0.35">
      <c r="A483" t="str">
        <f>"541401"</f>
        <v>541401</v>
      </c>
      <c r="B483" t="s">
        <v>977</v>
      </c>
      <c r="C483" s="46">
        <v>19</v>
      </c>
      <c r="D483" s="46">
        <v>0</v>
      </c>
      <c r="E483" s="46">
        <v>0</v>
      </c>
      <c r="F483" s="46">
        <v>0</v>
      </c>
      <c r="G483" s="46">
        <v>0</v>
      </c>
      <c r="H483" s="46">
        <v>2</v>
      </c>
      <c r="I483" s="46">
        <f t="shared" si="7"/>
        <v>14</v>
      </c>
    </row>
    <row r="484" spans="1:9" x14ac:dyDescent="0.35">
      <c r="A484" t="str">
        <f>"550101"</f>
        <v>550101</v>
      </c>
      <c r="B484" t="s">
        <v>1914</v>
      </c>
      <c r="C484" s="46">
        <v>59</v>
      </c>
      <c r="D484" s="46">
        <v>0</v>
      </c>
      <c r="E484" s="46">
        <v>0</v>
      </c>
      <c r="F484" s="46">
        <v>0</v>
      </c>
      <c r="G484" s="46">
        <v>0</v>
      </c>
      <c r="H484" s="46">
        <v>1</v>
      </c>
      <c r="I484" s="46">
        <f t="shared" si="7"/>
        <v>49</v>
      </c>
    </row>
    <row r="485" spans="1:9" x14ac:dyDescent="0.35">
      <c r="A485" t="str">
        <f>"550301"</f>
        <v>550301</v>
      </c>
      <c r="B485" t="s">
        <v>1915</v>
      </c>
      <c r="C485" s="46">
        <v>53</v>
      </c>
      <c r="D485" s="46">
        <v>0</v>
      </c>
      <c r="E485" s="46">
        <v>0</v>
      </c>
      <c r="F485" s="46">
        <v>0</v>
      </c>
      <c r="G485" s="46">
        <v>0</v>
      </c>
      <c r="H485" s="46">
        <v>0</v>
      </c>
      <c r="I485" s="46">
        <f t="shared" si="7"/>
        <v>45</v>
      </c>
    </row>
    <row r="486" spans="1:9" x14ac:dyDescent="0.35">
      <c r="A486" t="str">
        <f>"560501"</f>
        <v>560501</v>
      </c>
      <c r="B486" t="s">
        <v>1916</v>
      </c>
      <c r="C486" s="46">
        <v>39</v>
      </c>
      <c r="D486" s="46">
        <v>0</v>
      </c>
      <c r="E486" s="46">
        <v>0</v>
      </c>
      <c r="F486" s="46">
        <v>0</v>
      </c>
      <c r="G486" s="46">
        <v>0</v>
      </c>
      <c r="H486" s="46">
        <v>6</v>
      </c>
      <c r="I486" s="46">
        <f t="shared" si="7"/>
        <v>28</v>
      </c>
    </row>
    <row r="487" spans="1:9" x14ac:dyDescent="0.35">
      <c r="A487" t="str">
        <f>"560603"</f>
        <v>560603</v>
      </c>
      <c r="B487" t="s">
        <v>1917</v>
      </c>
      <c r="C487" s="46">
        <v>27</v>
      </c>
      <c r="D487" s="46">
        <v>0</v>
      </c>
      <c r="E487" s="46">
        <v>0</v>
      </c>
      <c r="F487" s="46">
        <v>0</v>
      </c>
      <c r="G487" s="46">
        <v>0</v>
      </c>
      <c r="H487" s="46">
        <v>2</v>
      </c>
      <c r="I487" s="46">
        <f t="shared" si="7"/>
        <v>21</v>
      </c>
    </row>
    <row r="488" spans="1:9" x14ac:dyDescent="0.35">
      <c r="A488" t="str">
        <f>"560701"</f>
        <v>560701</v>
      </c>
      <c r="B488" t="s">
        <v>1918</v>
      </c>
      <c r="C488" s="46">
        <v>70</v>
      </c>
      <c r="D488" s="46">
        <v>0</v>
      </c>
      <c r="E488" s="46">
        <v>0</v>
      </c>
      <c r="F488" s="46">
        <v>0</v>
      </c>
      <c r="G488" s="46">
        <v>9</v>
      </c>
      <c r="H488" s="46">
        <v>4</v>
      </c>
      <c r="I488" s="46">
        <f t="shared" si="7"/>
        <v>63</v>
      </c>
    </row>
    <row r="489" spans="1:9" x14ac:dyDescent="0.35">
      <c r="A489" t="str">
        <f>"561006"</f>
        <v>561006</v>
      </c>
      <c r="B489" t="s">
        <v>1919</v>
      </c>
      <c r="C489" s="46">
        <v>88</v>
      </c>
      <c r="D489" s="46">
        <v>0</v>
      </c>
      <c r="E489" s="46">
        <v>0</v>
      </c>
      <c r="F489" s="46">
        <v>0</v>
      </c>
      <c r="G489" s="46">
        <v>0</v>
      </c>
      <c r="H489" s="46">
        <v>0</v>
      </c>
      <c r="I489" s="46">
        <f t="shared" si="7"/>
        <v>74</v>
      </c>
    </row>
    <row r="490" spans="1:9" x14ac:dyDescent="0.35">
      <c r="A490" t="str">
        <f>"570101"</f>
        <v>570101</v>
      </c>
      <c r="B490" t="s">
        <v>1920</v>
      </c>
      <c r="C490" s="46">
        <v>72</v>
      </c>
      <c r="D490" s="46">
        <v>0</v>
      </c>
      <c r="E490" s="46">
        <v>1</v>
      </c>
      <c r="F490" s="46">
        <v>0</v>
      </c>
      <c r="G490" s="46">
        <v>0</v>
      </c>
      <c r="H490" s="46">
        <v>0</v>
      </c>
      <c r="I490" s="46">
        <f t="shared" si="7"/>
        <v>62</v>
      </c>
    </row>
    <row r="491" spans="1:9" x14ac:dyDescent="0.35">
      <c r="A491" t="str">
        <f>"570201"</f>
        <v>570201</v>
      </c>
      <c r="B491" t="s">
        <v>1921</v>
      </c>
      <c r="C491" s="46">
        <v>30</v>
      </c>
      <c r="D491" s="46">
        <v>0</v>
      </c>
      <c r="E491" s="46">
        <v>0</v>
      </c>
      <c r="F491" s="46">
        <v>0</v>
      </c>
      <c r="G491" s="46">
        <v>0</v>
      </c>
      <c r="H491" s="46">
        <v>0</v>
      </c>
      <c r="I491" s="46">
        <f t="shared" si="7"/>
        <v>25</v>
      </c>
    </row>
    <row r="492" spans="1:9" x14ac:dyDescent="0.35">
      <c r="A492" t="str">
        <f>"570302"</f>
        <v>570302</v>
      </c>
      <c r="B492" t="s">
        <v>1922</v>
      </c>
      <c r="C492" s="46">
        <v>115</v>
      </c>
      <c r="D492" s="46">
        <v>0</v>
      </c>
      <c r="E492" s="46">
        <v>0</v>
      </c>
      <c r="F492" s="46">
        <v>0</v>
      </c>
      <c r="G492" s="46">
        <v>1</v>
      </c>
      <c r="H492" s="46">
        <v>5</v>
      </c>
      <c r="I492" s="46">
        <f t="shared" si="7"/>
        <v>94</v>
      </c>
    </row>
    <row r="493" spans="1:9" x14ac:dyDescent="0.35">
      <c r="A493" t="str">
        <f>"570401"</f>
        <v>570401</v>
      </c>
      <c r="B493" t="s">
        <v>1923</v>
      </c>
      <c r="C493" s="46">
        <v>18</v>
      </c>
      <c r="D493" s="46">
        <v>0</v>
      </c>
      <c r="E493" s="46">
        <v>0</v>
      </c>
      <c r="F493" s="46">
        <v>0</v>
      </c>
      <c r="G493" s="46">
        <v>0</v>
      </c>
      <c r="H493" s="46">
        <v>1</v>
      </c>
      <c r="I493" s="46">
        <f t="shared" si="7"/>
        <v>14</v>
      </c>
    </row>
    <row r="494" spans="1:9" x14ac:dyDescent="0.35">
      <c r="A494" t="str">
        <f>"570603"</f>
        <v>570603</v>
      </c>
      <c r="B494" t="s">
        <v>999</v>
      </c>
      <c r="C494" s="46">
        <v>57</v>
      </c>
      <c r="D494" s="46">
        <v>0</v>
      </c>
      <c r="E494" s="46">
        <v>0</v>
      </c>
      <c r="F494" s="46">
        <v>0</v>
      </c>
      <c r="G494" s="46">
        <v>0</v>
      </c>
      <c r="H494" s="46">
        <v>0</v>
      </c>
      <c r="I494" s="46">
        <f t="shared" si="7"/>
        <v>48</v>
      </c>
    </row>
    <row r="495" spans="1:9" x14ac:dyDescent="0.35">
      <c r="A495" t="str">
        <f>"571000"</f>
        <v>571000</v>
      </c>
      <c r="B495" t="s">
        <v>1924</v>
      </c>
      <c r="C495" s="46">
        <v>304</v>
      </c>
      <c r="D495" s="46">
        <v>0</v>
      </c>
      <c r="E495" s="46">
        <v>1</v>
      </c>
      <c r="F495" s="46">
        <v>0</v>
      </c>
      <c r="G495" s="46">
        <v>21</v>
      </c>
      <c r="H495" s="46">
        <v>0</v>
      </c>
      <c r="I495" s="46">
        <f t="shared" si="7"/>
        <v>277</v>
      </c>
    </row>
    <row r="496" spans="1:9" x14ac:dyDescent="0.35">
      <c r="A496" t="str">
        <f>"571502"</f>
        <v>571502</v>
      </c>
      <c r="B496" t="s">
        <v>1003</v>
      </c>
      <c r="C496" s="46">
        <v>63</v>
      </c>
      <c r="D496" s="46">
        <v>0</v>
      </c>
      <c r="E496" s="46">
        <v>0</v>
      </c>
      <c r="F496" s="46">
        <v>0</v>
      </c>
      <c r="G496" s="46">
        <v>0</v>
      </c>
      <c r="H496" s="46">
        <v>2</v>
      </c>
      <c r="I496" s="46">
        <f t="shared" si="7"/>
        <v>51</v>
      </c>
    </row>
    <row r="497" spans="1:9" x14ac:dyDescent="0.35">
      <c r="A497" t="str">
        <f>"571800"</f>
        <v>571800</v>
      </c>
      <c r="B497" t="s">
        <v>1925</v>
      </c>
      <c r="C497" s="46">
        <v>91</v>
      </c>
      <c r="D497" s="46">
        <v>0</v>
      </c>
      <c r="E497" s="46">
        <v>0</v>
      </c>
      <c r="F497" s="46">
        <v>0</v>
      </c>
      <c r="G497" s="46">
        <v>5</v>
      </c>
      <c r="H497" s="46">
        <v>7</v>
      </c>
      <c r="I497" s="46">
        <f t="shared" si="7"/>
        <v>75</v>
      </c>
    </row>
    <row r="498" spans="1:9" x14ac:dyDescent="0.35">
      <c r="A498" t="str">
        <f>"571901"</f>
        <v>571901</v>
      </c>
      <c r="B498" t="s">
        <v>1926</v>
      </c>
      <c r="C498" s="46">
        <v>29</v>
      </c>
      <c r="D498" s="46">
        <v>0</v>
      </c>
      <c r="E498" s="46">
        <v>0</v>
      </c>
      <c r="F498" s="46">
        <v>0</v>
      </c>
      <c r="G498" s="46">
        <v>0</v>
      </c>
      <c r="H498" s="46">
        <v>5</v>
      </c>
      <c r="I498" s="46">
        <f t="shared" si="7"/>
        <v>20</v>
      </c>
    </row>
    <row r="499" spans="1:9" x14ac:dyDescent="0.35">
      <c r="A499" t="str">
        <f>"572301"</f>
        <v>572301</v>
      </c>
      <c r="B499" t="s">
        <v>1927</v>
      </c>
      <c r="C499" s="46">
        <v>38</v>
      </c>
      <c r="D499" s="46">
        <v>0</v>
      </c>
      <c r="E499" s="46">
        <v>0</v>
      </c>
      <c r="F499" s="46">
        <v>0</v>
      </c>
      <c r="G499" s="46">
        <v>0</v>
      </c>
      <c r="H499" s="46">
        <v>0</v>
      </c>
      <c r="I499" s="46">
        <f t="shared" si="7"/>
        <v>32</v>
      </c>
    </row>
    <row r="500" spans="1:9" x14ac:dyDescent="0.35">
      <c r="A500" t="str">
        <f>"572702"</f>
        <v>572702</v>
      </c>
      <c r="B500" t="s">
        <v>1928</v>
      </c>
      <c r="C500" s="46">
        <v>24</v>
      </c>
      <c r="D500" s="46">
        <v>0</v>
      </c>
      <c r="E500" s="46">
        <v>0</v>
      </c>
      <c r="F500" s="46">
        <v>0</v>
      </c>
      <c r="G500" s="46">
        <v>0</v>
      </c>
      <c r="H500" s="46">
        <v>0</v>
      </c>
      <c r="I500" s="46">
        <f t="shared" si="7"/>
        <v>20</v>
      </c>
    </row>
    <row r="501" spans="1:9" x14ac:dyDescent="0.35">
      <c r="A501" t="str">
        <f>"572901"</f>
        <v>572901</v>
      </c>
      <c r="B501" t="s">
        <v>1929</v>
      </c>
      <c r="C501" s="46">
        <v>21</v>
      </c>
      <c r="D501" s="46">
        <v>0</v>
      </c>
      <c r="E501" s="46">
        <v>0</v>
      </c>
      <c r="F501" s="46">
        <v>0</v>
      </c>
      <c r="G501" s="46">
        <v>0</v>
      </c>
      <c r="H501" s="46">
        <v>0</v>
      </c>
      <c r="I501" s="46">
        <f t="shared" si="7"/>
        <v>17</v>
      </c>
    </row>
    <row r="502" spans="1:9" x14ac:dyDescent="0.35">
      <c r="A502" t="str">
        <f>"573002"</f>
        <v>573002</v>
      </c>
      <c r="B502" t="s">
        <v>1015</v>
      </c>
      <c r="C502" s="46">
        <v>78</v>
      </c>
      <c r="D502" s="46">
        <v>0</v>
      </c>
      <c r="E502" s="46">
        <v>0</v>
      </c>
      <c r="F502" s="46">
        <v>0</v>
      </c>
      <c r="G502" s="46">
        <v>0</v>
      </c>
      <c r="H502" s="46">
        <v>4</v>
      </c>
      <c r="I502" s="46">
        <f t="shared" si="7"/>
        <v>62</v>
      </c>
    </row>
    <row r="503" spans="1:9" x14ac:dyDescent="0.35">
      <c r="A503" t="str">
        <f>"580101"</f>
        <v>580101</v>
      </c>
      <c r="B503" t="s">
        <v>1930</v>
      </c>
      <c r="C503" s="46">
        <v>128</v>
      </c>
      <c r="D503" s="46">
        <v>0</v>
      </c>
      <c r="E503" s="46">
        <v>2</v>
      </c>
      <c r="F503" s="46">
        <v>0</v>
      </c>
      <c r="G503" s="46">
        <v>4</v>
      </c>
      <c r="H503" s="46">
        <v>4</v>
      </c>
      <c r="I503" s="46">
        <f t="shared" si="7"/>
        <v>110</v>
      </c>
    </row>
    <row r="504" spans="1:9" x14ac:dyDescent="0.35">
      <c r="A504" t="str">
        <f>"580102"</f>
        <v>580102</v>
      </c>
      <c r="B504" t="s">
        <v>1931</v>
      </c>
      <c r="C504" s="46">
        <v>244</v>
      </c>
      <c r="D504" s="46">
        <v>0</v>
      </c>
      <c r="E504" s="46">
        <v>0</v>
      </c>
      <c r="F504" s="46">
        <v>0</v>
      </c>
      <c r="G504" s="46">
        <v>0</v>
      </c>
      <c r="H504" s="46">
        <v>20</v>
      </c>
      <c r="I504" s="46">
        <f t="shared" si="7"/>
        <v>190</v>
      </c>
    </row>
    <row r="505" spans="1:9" x14ac:dyDescent="0.35">
      <c r="A505" t="str">
        <f>"580103"</f>
        <v>580103</v>
      </c>
      <c r="B505" t="s">
        <v>1932</v>
      </c>
      <c r="C505" s="46">
        <v>291</v>
      </c>
      <c r="D505" s="46">
        <v>0</v>
      </c>
      <c r="E505" s="46">
        <v>0</v>
      </c>
      <c r="F505" s="46">
        <v>0</v>
      </c>
      <c r="G505" s="46">
        <v>0</v>
      </c>
      <c r="H505" s="46">
        <v>0</v>
      </c>
      <c r="I505" s="46">
        <f t="shared" si="7"/>
        <v>247</v>
      </c>
    </row>
    <row r="506" spans="1:9" x14ac:dyDescent="0.35">
      <c r="A506" t="str">
        <f>"580104"</f>
        <v>580104</v>
      </c>
      <c r="B506" t="s">
        <v>1933</v>
      </c>
      <c r="C506" s="46">
        <v>389</v>
      </c>
      <c r="D506" s="46">
        <v>0</v>
      </c>
      <c r="E506" s="46">
        <v>0</v>
      </c>
      <c r="F506" s="46">
        <v>0</v>
      </c>
      <c r="G506" s="46">
        <v>0</v>
      </c>
      <c r="H506" s="46">
        <v>0</v>
      </c>
      <c r="I506" s="46">
        <f t="shared" si="7"/>
        <v>330</v>
      </c>
    </row>
    <row r="507" spans="1:9" x14ac:dyDescent="0.35">
      <c r="A507" t="str">
        <f>"580105"</f>
        <v>580105</v>
      </c>
      <c r="B507" t="s">
        <v>1934</v>
      </c>
      <c r="C507" s="46">
        <v>302</v>
      </c>
      <c r="D507" s="46">
        <v>0</v>
      </c>
      <c r="E507" s="46">
        <v>1</v>
      </c>
      <c r="F507" s="46">
        <v>0</v>
      </c>
      <c r="G507" s="46">
        <v>8</v>
      </c>
      <c r="H507" s="46">
        <v>40</v>
      </c>
      <c r="I507" s="46">
        <f t="shared" si="7"/>
        <v>230</v>
      </c>
    </row>
    <row r="508" spans="1:9" x14ac:dyDescent="0.35">
      <c r="A508" t="str">
        <f>"580106"</f>
        <v>580106</v>
      </c>
      <c r="B508" t="s">
        <v>1935</v>
      </c>
      <c r="C508" s="46">
        <v>188</v>
      </c>
      <c r="D508" s="46">
        <v>0</v>
      </c>
      <c r="E508" s="46">
        <v>4</v>
      </c>
      <c r="F508" s="46">
        <v>0</v>
      </c>
      <c r="G508" s="46">
        <v>12</v>
      </c>
      <c r="H508" s="46">
        <v>31</v>
      </c>
      <c r="I508" s="46">
        <f t="shared" si="7"/>
        <v>147</v>
      </c>
    </row>
    <row r="509" spans="1:9" x14ac:dyDescent="0.35">
      <c r="A509" t="str">
        <f>"580107"</f>
        <v>580107</v>
      </c>
      <c r="B509" t="s">
        <v>1520</v>
      </c>
      <c r="C509" s="46">
        <v>255</v>
      </c>
      <c r="D509" s="46">
        <v>0</v>
      </c>
      <c r="E509" s="46">
        <v>0</v>
      </c>
      <c r="F509" s="46">
        <v>0</v>
      </c>
      <c r="G509" s="46">
        <v>25</v>
      </c>
      <c r="H509" s="46">
        <v>0</v>
      </c>
      <c r="I509" s="46">
        <f t="shared" si="7"/>
        <v>238</v>
      </c>
    </row>
    <row r="510" spans="1:9" x14ac:dyDescent="0.35">
      <c r="A510" t="str">
        <f>"580109"</f>
        <v>580109</v>
      </c>
      <c r="B510" t="s">
        <v>1544</v>
      </c>
      <c r="C510" s="46">
        <v>179</v>
      </c>
      <c r="D510" s="46">
        <v>0</v>
      </c>
      <c r="E510" s="46">
        <v>18</v>
      </c>
      <c r="F510" s="46">
        <v>0</v>
      </c>
      <c r="G510" s="46">
        <v>0</v>
      </c>
      <c r="H510" s="46">
        <v>35</v>
      </c>
      <c r="I510" s="46">
        <f t="shared" si="7"/>
        <v>137</v>
      </c>
    </row>
    <row r="511" spans="1:9" x14ac:dyDescent="0.35">
      <c r="A511" t="str">
        <f>"580201"</f>
        <v>580201</v>
      </c>
      <c r="B511" t="s">
        <v>1032</v>
      </c>
      <c r="C511" s="46">
        <v>336</v>
      </c>
      <c r="D511" s="46">
        <v>0</v>
      </c>
      <c r="E511" s="46">
        <v>0</v>
      </c>
      <c r="F511" s="46">
        <v>0</v>
      </c>
      <c r="G511" s="46">
        <v>31</v>
      </c>
      <c r="H511" s="46">
        <v>0</v>
      </c>
      <c r="I511" s="46">
        <f t="shared" si="7"/>
        <v>311</v>
      </c>
    </row>
    <row r="512" spans="1:9" x14ac:dyDescent="0.35">
      <c r="A512" t="str">
        <f>"580203"</f>
        <v>580203</v>
      </c>
      <c r="B512" t="s">
        <v>1936</v>
      </c>
      <c r="C512" s="46">
        <v>240</v>
      </c>
      <c r="D512" s="46">
        <v>0</v>
      </c>
      <c r="E512" s="46">
        <v>0</v>
      </c>
      <c r="F512" s="46">
        <v>0</v>
      </c>
      <c r="G512" s="46">
        <v>0</v>
      </c>
      <c r="H512" s="46">
        <v>22</v>
      </c>
      <c r="I512" s="46">
        <f t="shared" si="7"/>
        <v>185</v>
      </c>
    </row>
    <row r="513" spans="1:9" x14ac:dyDescent="0.35">
      <c r="A513" t="str">
        <f>"580205"</f>
        <v>580205</v>
      </c>
      <c r="B513" t="s">
        <v>1937</v>
      </c>
      <c r="C513" s="46">
        <v>766</v>
      </c>
      <c r="D513" s="46">
        <v>0</v>
      </c>
      <c r="E513" s="46">
        <v>0</v>
      </c>
      <c r="F513" s="46">
        <v>0</v>
      </c>
      <c r="G513" s="46">
        <v>0</v>
      </c>
      <c r="H513" s="46">
        <v>70</v>
      </c>
      <c r="I513" s="46">
        <f t="shared" si="7"/>
        <v>591</v>
      </c>
    </row>
    <row r="514" spans="1:9" x14ac:dyDescent="0.35">
      <c r="A514" t="str">
        <f>"580206"</f>
        <v>580206</v>
      </c>
      <c r="B514" t="s">
        <v>1038</v>
      </c>
      <c r="C514" s="46">
        <v>38</v>
      </c>
      <c r="D514" s="46">
        <v>0</v>
      </c>
      <c r="E514" s="46">
        <v>0</v>
      </c>
      <c r="F514" s="46">
        <v>0</v>
      </c>
      <c r="G514" s="46">
        <v>0</v>
      </c>
      <c r="H514" s="46">
        <v>3</v>
      </c>
      <c r="I514" s="46">
        <f t="shared" ref="I514:I577" si="8">MAX(TRUNC((C514+D514+E514+F514+G514-H514)*0.85,0),0)</f>
        <v>29</v>
      </c>
    </row>
    <row r="515" spans="1:9" x14ac:dyDescent="0.35">
      <c r="A515" t="str">
        <f>"580207"</f>
        <v>580207</v>
      </c>
      <c r="B515" t="s">
        <v>1938</v>
      </c>
      <c r="C515" s="46">
        <v>106</v>
      </c>
      <c r="D515" s="46">
        <v>0</v>
      </c>
      <c r="E515" s="46">
        <v>0</v>
      </c>
      <c r="F515" s="46">
        <v>0</v>
      </c>
      <c r="G515" s="46">
        <v>0</v>
      </c>
      <c r="H515" s="46">
        <v>11</v>
      </c>
      <c r="I515" s="46">
        <f t="shared" si="8"/>
        <v>80</v>
      </c>
    </row>
    <row r="516" spans="1:9" x14ac:dyDescent="0.35">
      <c r="A516" t="str">
        <f>"580208"</f>
        <v>580208</v>
      </c>
      <c r="B516" t="s">
        <v>1939</v>
      </c>
      <c r="C516" s="46">
        <v>153</v>
      </c>
      <c r="D516" s="46">
        <v>0</v>
      </c>
      <c r="E516" s="46">
        <v>0</v>
      </c>
      <c r="F516" s="46">
        <v>0</v>
      </c>
      <c r="G516" s="46">
        <v>0</v>
      </c>
      <c r="H516" s="46">
        <v>0</v>
      </c>
      <c r="I516" s="46">
        <f t="shared" si="8"/>
        <v>130</v>
      </c>
    </row>
    <row r="517" spans="1:9" x14ac:dyDescent="0.35">
      <c r="A517" t="str">
        <f>"580209"</f>
        <v>580209</v>
      </c>
      <c r="B517" t="s">
        <v>1940</v>
      </c>
      <c r="C517" s="46">
        <v>163</v>
      </c>
      <c r="D517" s="46">
        <v>0</v>
      </c>
      <c r="E517" s="46">
        <v>0</v>
      </c>
      <c r="F517" s="46">
        <v>0</v>
      </c>
      <c r="G517" s="46">
        <v>0</v>
      </c>
      <c r="H517" s="46">
        <v>0</v>
      </c>
      <c r="I517" s="46">
        <f t="shared" si="8"/>
        <v>138</v>
      </c>
    </row>
    <row r="518" spans="1:9" x14ac:dyDescent="0.35">
      <c r="A518" t="str">
        <f>"580211"</f>
        <v>580211</v>
      </c>
      <c r="B518" t="s">
        <v>1046</v>
      </c>
      <c r="C518" s="46">
        <v>577</v>
      </c>
      <c r="D518" s="46">
        <v>0</v>
      </c>
      <c r="E518" s="46">
        <v>0</v>
      </c>
      <c r="F518" s="46">
        <v>0</v>
      </c>
      <c r="G518" s="46">
        <v>11</v>
      </c>
      <c r="H518" s="46">
        <v>0</v>
      </c>
      <c r="I518" s="46">
        <f t="shared" si="8"/>
        <v>499</v>
      </c>
    </row>
    <row r="519" spans="1:9" x14ac:dyDescent="0.35">
      <c r="A519" t="str">
        <f>"580212"</f>
        <v>580212</v>
      </c>
      <c r="B519" t="s">
        <v>1941</v>
      </c>
      <c r="C519" s="46">
        <v>594</v>
      </c>
      <c r="D519" s="46">
        <v>0</v>
      </c>
      <c r="E519" s="46">
        <v>12</v>
      </c>
      <c r="F519" s="46">
        <v>0</v>
      </c>
      <c r="G519" s="46">
        <v>0</v>
      </c>
      <c r="H519" s="46">
        <v>45</v>
      </c>
      <c r="I519" s="46">
        <f t="shared" si="8"/>
        <v>476</v>
      </c>
    </row>
    <row r="520" spans="1:9" x14ac:dyDescent="0.35">
      <c r="A520" t="str">
        <f>"580224"</f>
        <v>580224</v>
      </c>
      <c r="B520" t="s">
        <v>1050</v>
      </c>
      <c r="C520" s="46">
        <v>540</v>
      </c>
      <c r="D520" s="46">
        <v>0</v>
      </c>
      <c r="E520" s="46">
        <v>2</v>
      </c>
      <c r="F520" s="46">
        <v>0</v>
      </c>
      <c r="G520" s="46">
        <v>20</v>
      </c>
      <c r="H520" s="46">
        <v>110</v>
      </c>
      <c r="I520" s="46">
        <f t="shared" si="8"/>
        <v>384</v>
      </c>
    </row>
    <row r="521" spans="1:9" x14ac:dyDescent="0.35">
      <c r="A521" t="str">
        <f>"580232"</f>
        <v>580232</v>
      </c>
      <c r="B521" t="s">
        <v>1052</v>
      </c>
      <c r="C521" s="46">
        <v>598</v>
      </c>
      <c r="D521" s="46">
        <v>0</v>
      </c>
      <c r="E521" s="46">
        <v>7</v>
      </c>
      <c r="F521" s="46">
        <v>0</v>
      </c>
      <c r="G521" s="46">
        <v>0</v>
      </c>
      <c r="H521" s="46">
        <v>58</v>
      </c>
      <c r="I521" s="46">
        <f t="shared" si="8"/>
        <v>464</v>
      </c>
    </row>
    <row r="522" spans="1:9" x14ac:dyDescent="0.35">
      <c r="A522" t="str">
        <f>"580233"</f>
        <v>580233</v>
      </c>
      <c r="B522" t="s">
        <v>1054</v>
      </c>
      <c r="C522" s="46">
        <v>83</v>
      </c>
      <c r="D522" s="46">
        <v>0</v>
      </c>
      <c r="E522" s="46">
        <v>1</v>
      </c>
      <c r="F522" s="46">
        <v>0</v>
      </c>
      <c r="G522" s="46">
        <v>26</v>
      </c>
      <c r="H522" s="46">
        <v>0</v>
      </c>
      <c r="I522" s="46">
        <f t="shared" si="8"/>
        <v>93</v>
      </c>
    </row>
    <row r="523" spans="1:9" x14ac:dyDescent="0.35">
      <c r="A523" t="str">
        <f>"580234"</f>
        <v>580234</v>
      </c>
      <c r="B523" t="s">
        <v>1056</v>
      </c>
      <c r="C523" s="46">
        <v>61</v>
      </c>
      <c r="D523" s="46">
        <v>0</v>
      </c>
      <c r="E523" s="46">
        <v>1</v>
      </c>
      <c r="F523" s="46">
        <v>0</v>
      </c>
      <c r="G523" s="46">
        <v>0</v>
      </c>
      <c r="H523" s="46">
        <v>0</v>
      </c>
      <c r="I523" s="46">
        <f t="shared" si="8"/>
        <v>52</v>
      </c>
    </row>
    <row r="524" spans="1:9" x14ac:dyDescent="0.35">
      <c r="A524" t="str">
        <f>"580235"</f>
        <v>580235</v>
      </c>
      <c r="B524" t="s">
        <v>1058</v>
      </c>
      <c r="C524" s="46">
        <v>254</v>
      </c>
      <c r="D524" s="46">
        <v>0</v>
      </c>
      <c r="E524" s="46">
        <v>0</v>
      </c>
      <c r="F524" s="46">
        <v>0</v>
      </c>
      <c r="G524" s="46">
        <v>4</v>
      </c>
      <c r="H524" s="46">
        <v>0</v>
      </c>
      <c r="I524" s="46">
        <f t="shared" si="8"/>
        <v>219</v>
      </c>
    </row>
    <row r="525" spans="1:9" x14ac:dyDescent="0.35">
      <c r="A525" t="str">
        <f>"580301"</f>
        <v>580301</v>
      </c>
      <c r="B525" t="s">
        <v>1942</v>
      </c>
      <c r="C525" s="46">
        <v>78</v>
      </c>
      <c r="D525" s="46">
        <v>0</v>
      </c>
      <c r="E525" s="46">
        <v>0</v>
      </c>
      <c r="F525" s="46">
        <v>0</v>
      </c>
      <c r="G525" s="46">
        <v>0</v>
      </c>
      <c r="H525" s="46">
        <v>7</v>
      </c>
      <c r="I525" s="46">
        <f t="shared" si="8"/>
        <v>60</v>
      </c>
    </row>
    <row r="526" spans="1:9" x14ac:dyDescent="0.35">
      <c r="A526" t="str">
        <f>"580303"</f>
        <v>580303</v>
      </c>
      <c r="B526" t="s">
        <v>1943</v>
      </c>
      <c r="C526" s="46">
        <v>19</v>
      </c>
      <c r="D526" s="46">
        <v>0</v>
      </c>
      <c r="E526" s="46">
        <v>0</v>
      </c>
      <c r="F526" s="46">
        <v>0</v>
      </c>
      <c r="G526" s="46">
        <v>0</v>
      </c>
      <c r="H526" s="46">
        <v>2</v>
      </c>
      <c r="I526" s="46">
        <f t="shared" si="8"/>
        <v>14</v>
      </c>
    </row>
    <row r="527" spans="1:9" x14ac:dyDescent="0.35">
      <c r="A527" t="str">
        <f>"580304"</f>
        <v>580304</v>
      </c>
      <c r="B527" t="s">
        <v>1944</v>
      </c>
      <c r="C527" s="46">
        <v>63</v>
      </c>
      <c r="D527" s="46">
        <v>0</v>
      </c>
      <c r="E527" s="46">
        <v>0</v>
      </c>
      <c r="F527" s="46">
        <v>0</v>
      </c>
      <c r="G527" s="46">
        <v>0</v>
      </c>
      <c r="H527" s="46">
        <v>0</v>
      </c>
      <c r="I527" s="46">
        <f t="shared" si="8"/>
        <v>53</v>
      </c>
    </row>
    <row r="528" spans="1:9" x14ac:dyDescent="0.35">
      <c r="A528" t="str">
        <f>"580305"</f>
        <v>580305</v>
      </c>
      <c r="B528" t="s">
        <v>1945</v>
      </c>
      <c r="C528" s="46">
        <v>62</v>
      </c>
      <c r="D528" s="46">
        <v>0</v>
      </c>
      <c r="E528" s="46">
        <v>0</v>
      </c>
      <c r="F528" s="46">
        <v>0</v>
      </c>
      <c r="G528" s="46">
        <v>0</v>
      </c>
      <c r="H528" s="46">
        <v>1</v>
      </c>
      <c r="I528" s="46">
        <f t="shared" si="8"/>
        <v>51</v>
      </c>
    </row>
    <row r="529" spans="1:9" x14ac:dyDescent="0.35">
      <c r="A529" t="str">
        <f>"580306"</f>
        <v>580306</v>
      </c>
      <c r="B529" t="s">
        <v>1946</v>
      </c>
      <c r="C529" s="46">
        <v>30</v>
      </c>
      <c r="D529" s="46">
        <v>0</v>
      </c>
      <c r="E529" s="46">
        <v>0</v>
      </c>
      <c r="F529" s="46">
        <v>0</v>
      </c>
      <c r="G529" s="46">
        <v>0</v>
      </c>
      <c r="H529" s="46">
        <v>0</v>
      </c>
      <c r="I529" s="46">
        <f t="shared" si="8"/>
        <v>25</v>
      </c>
    </row>
    <row r="530" spans="1:9" x14ac:dyDescent="0.35">
      <c r="A530" t="str">
        <f>"580401"</f>
        <v>580401</v>
      </c>
      <c r="B530" t="s">
        <v>1947</v>
      </c>
      <c r="C530" s="46">
        <v>154</v>
      </c>
      <c r="D530" s="46">
        <v>0</v>
      </c>
      <c r="E530" s="46">
        <v>0</v>
      </c>
      <c r="F530" s="46">
        <v>0</v>
      </c>
      <c r="G530" s="46">
        <v>0</v>
      </c>
      <c r="H530" s="46">
        <v>16</v>
      </c>
      <c r="I530" s="46">
        <f t="shared" si="8"/>
        <v>117</v>
      </c>
    </row>
    <row r="531" spans="1:9" x14ac:dyDescent="0.35">
      <c r="A531" t="str">
        <f>"580402"</f>
        <v>580402</v>
      </c>
      <c r="B531" t="s">
        <v>1072</v>
      </c>
      <c r="C531" s="46">
        <v>97</v>
      </c>
      <c r="D531" s="46">
        <v>0</v>
      </c>
      <c r="E531" s="46">
        <v>0</v>
      </c>
      <c r="F531" s="46">
        <v>0</v>
      </c>
      <c r="G531" s="46">
        <v>0</v>
      </c>
      <c r="H531" s="46">
        <v>3</v>
      </c>
      <c r="I531" s="46">
        <f t="shared" si="8"/>
        <v>79</v>
      </c>
    </row>
    <row r="532" spans="1:9" x14ac:dyDescent="0.35">
      <c r="A532" t="str">
        <f>"580403"</f>
        <v>580403</v>
      </c>
      <c r="B532" t="s">
        <v>1948</v>
      </c>
      <c r="C532" s="46">
        <v>307</v>
      </c>
      <c r="D532" s="46">
        <v>0</v>
      </c>
      <c r="E532" s="46">
        <v>0</v>
      </c>
      <c r="F532" s="46">
        <v>0</v>
      </c>
      <c r="G532" s="46">
        <v>48</v>
      </c>
      <c r="H532" s="46">
        <v>14</v>
      </c>
      <c r="I532" s="46">
        <f t="shared" si="8"/>
        <v>289</v>
      </c>
    </row>
    <row r="533" spans="1:9" x14ac:dyDescent="0.35">
      <c r="A533" t="str">
        <f>"580404"</f>
        <v>580404</v>
      </c>
      <c r="B533" t="s">
        <v>1949</v>
      </c>
      <c r="C533" s="46">
        <v>283</v>
      </c>
      <c r="D533" s="46">
        <v>0</v>
      </c>
      <c r="E533" s="46">
        <v>0</v>
      </c>
      <c r="F533" s="46">
        <v>0</v>
      </c>
      <c r="G533" s="46">
        <v>38</v>
      </c>
      <c r="H533" s="46">
        <v>0</v>
      </c>
      <c r="I533" s="46">
        <f t="shared" si="8"/>
        <v>272</v>
      </c>
    </row>
    <row r="534" spans="1:9" x14ac:dyDescent="0.35">
      <c r="A534" t="str">
        <f>"580405"</f>
        <v>580405</v>
      </c>
      <c r="B534" t="s">
        <v>1078</v>
      </c>
      <c r="C534" s="46">
        <v>447</v>
      </c>
      <c r="D534" s="46">
        <v>0</v>
      </c>
      <c r="E534" s="46">
        <v>1</v>
      </c>
      <c r="F534" s="46">
        <v>0</v>
      </c>
      <c r="G534" s="46">
        <v>11</v>
      </c>
      <c r="H534" s="46">
        <v>35</v>
      </c>
      <c r="I534" s="46">
        <f t="shared" si="8"/>
        <v>360</v>
      </c>
    </row>
    <row r="535" spans="1:9" x14ac:dyDescent="0.35">
      <c r="A535" t="str">
        <f>"580406"</f>
        <v>580406</v>
      </c>
      <c r="B535" t="s">
        <v>1950</v>
      </c>
      <c r="C535" s="46">
        <v>201</v>
      </c>
      <c r="D535" s="46">
        <v>0</v>
      </c>
      <c r="E535" s="46">
        <v>0</v>
      </c>
      <c r="F535" s="46">
        <v>0</v>
      </c>
      <c r="G535" s="46">
        <v>14</v>
      </c>
      <c r="H535" s="46">
        <v>13</v>
      </c>
      <c r="I535" s="46">
        <f t="shared" si="8"/>
        <v>171</v>
      </c>
    </row>
    <row r="536" spans="1:9" x14ac:dyDescent="0.35">
      <c r="A536" t="str">
        <f>"580410"</f>
        <v>580410</v>
      </c>
      <c r="B536" t="s">
        <v>1951</v>
      </c>
      <c r="C536" s="46">
        <v>361</v>
      </c>
      <c r="D536" s="46">
        <v>0</v>
      </c>
      <c r="E536" s="46">
        <v>0</v>
      </c>
      <c r="F536" s="46">
        <v>0</v>
      </c>
      <c r="G536" s="46">
        <v>0</v>
      </c>
      <c r="H536" s="46">
        <v>30</v>
      </c>
      <c r="I536" s="46">
        <f t="shared" si="8"/>
        <v>281</v>
      </c>
    </row>
    <row r="537" spans="1:9" x14ac:dyDescent="0.35">
      <c r="A537" t="str">
        <f>"580413"</f>
        <v>580413</v>
      </c>
      <c r="B537" t="s">
        <v>1952</v>
      </c>
      <c r="C537" s="46">
        <v>436</v>
      </c>
      <c r="D537" s="46">
        <v>0</v>
      </c>
      <c r="E537" s="46">
        <v>0</v>
      </c>
      <c r="F537" s="46">
        <v>0</v>
      </c>
      <c r="G537" s="46">
        <v>17</v>
      </c>
      <c r="H537" s="46">
        <v>28</v>
      </c>
      <c r="I537" s="46">
        <f t="shared" si="8"/>
        <v>361</v>
      </c>
    </row>
    <row r="538" spans="1:9" x14ac:dyDescent="0.35">
      <c r="A538" t="str">
        <f>"580501"</f>
        <v>580501</v>
      </c>
      <c r="B538" t="s">
        <v>1507</v>
      </c>
      <c r="C538" s="46">
        <v>385</v>
      </c>
      <c r="D538" s="46">
        <v>0</v>
      </c>
      <c r="E538" s="46">
        <v>0</v>
      </c>
      <c r="F538" s="46">
        <v>0</v>
      </c>
      <c r="G538" s="46">
        <v>63</v>
      </c>
      <c r="H538" s="46">
        <v>45</v>
      </c>
      <c r="I538" s="46">
        <f t="shared" si="8"/>
        <v>342</v>
      </c>
    </row>
    <row r="539" spans="1:9" x14ac:dyDescent="0.35">
      <c r="A539" t="str">
        <f>"580502"</f>
        <v>580502</v>
      </c>
      <c r="B539" t="s">
        <v>1953</v>
      </c>
      <c r="C539" s="46">
        <v>183</v>
      </c>
      <c r="D539" s="46">
        <v>0</v>
      </c>
      <c r="E539" s="46">
        <v>0</v>
      </c>
      <c r="F539" s="46">
        <v>0</v>
      </c>
      <c r="G539" s="46">
        <v>0</v>
      </c>
      <c r="H539" s="46">
        <v>24</v>
      </c>
      <c r="I539" s="46">
        <f t="shared" si="8"/>
        <v>135</v>
      </c>
    </row>
    <row r="540" spans="1:9" x14ac:dyDescent="0.35">
      <c r="A540" t="str">
        <f>"580503"</f>
        <v>580503</v>
      </c>
      <c r="B540" t="s">
        <v>1954</v>
      </c>
      <c r="C540" s="46">
        <v>242</v>
      </c>
      <c r="D540" s="46">
        <v>0</v>
      </c>
      <c r="E540" s="46">
        <v>1</v>
      </c>
      <c r="F540" s="46">
        <v>0</v>
      </c>
      <c r="G540" s="46">
        <v>35</v>
      </c>
      <c r="H540" s="46">
        <v>27</v>
      </c>
      <c r="I540" s="46">
        <f t="shared" si="8"/>
        <v>213</v>
      </c>
    </row>
    <row r="541" spans="1:9" x14ac:dyDescent="0.35">
      <c r="A541" t="str">
        <f>"580504"</f>
        <v>580504</v>
      </c>
      <c r="B541" t="s">
        <v>1955</v>
      </c>
      <c r="C541" s="46">
        <v>185</v>
      </c>
      <c r="D541" s="46">
        <v>0</v>
      </c>
      <c r="E541" s="46">
        <v>0</v>
      </c>
      <c r="F541" s="46">
        <v>0</v>
      </c>
      <c r="G541" s="46">
        <v>4</v>
      </c>
      <c r="H541" s="46">
        <v>5</v>
      </c>
      <c r="I541" s="46">
        <f t="shared" si="8"/>
        <v>156</v>
      </c>
    </row>
    <row r="542" spans="1:9" x14ac:dyDescent="0.35">
      <c r="A542" t="str">
        <f>"580505"</f>
        <v>580505</v>
      </c>
      <c r="B542" t="s">
        <v>1956</v>
      </c>
      <c r="C542" s="46">
        <v>131</v>
      </c>
      <c r="D542" s="46">
        <v>0</v>
      </c>
      <c r="E542" s="46">
        <v>0</v>
      </c>
      <c r="F542" s="46">
        <v>0</v>
      </c>
      <c r="G542" s="46">
        <v>0</v>
      </c>
      <c r="H542" s="46">
        <v>0</v>
      </c>
      <c r="I542" s="46">
        <f t="shared" si="8"/>
        <v>111</v>
      </c>
    </row>
    <row r="543" spans="1:9" x14ac:dyDescent="0.35">
      <c r="A543" t="str">
        <f>"580506"</f>
        <v>580506</v>
      </c>
      <c r="B543" t="s">
        <v>1431</v>
      </c>
      <c r="C543" s="46">
        <v>211</v>
      </c>
      <c r="D543" s="46">
        <v>0</v>
      </c>
      <c r="E543" s="46">
        <v>0</v>
      </c>
      <c r="F543" s="46">
        <v>0</v>
      </c>
      <c r="G543" s="46">
        <v>20</v>
      </c>
      <c r="H543" s="46">
        <v>0</v>
      </c>
      <c r="I543" s="46">
        <f t="shared" si="8"/>
        <v>196</v>
      </c>
    </row>
    <row r="544" spans="1:9" x14ac:dyDescent="0.35">
      <c r="A544" t="str">
        <f>"580507"</f>
        <v>580507</v>
      </c>
      <c r="B544" t="s">
        <v>1468</v>
      </c>
      <c r="C544" s="46">
        <v>381</v>
      </c>
      <c r="D544" s="46">
        <v>0</v>
      </c>
      <c r="E544" s="46">
        <v>0</v>
      </c>
      <c r="F544" s="46">
        <v>0</v>
      </c>
      <c r="G544" s="46">
        <v>0</v>
      </c>
      <c r="H544" s="46">
        <v>35</v>
      </c>
      <c r="I544" s="46">
        <f t="shared" si="8"/>
        <v>294</v>
      </c>
    </row>
    <row r="545" spans="1:9" x14ac:dyDescent="0.35">
      <c r="A545" t="str">
        <f>"580509"</f>
        <v>580509</v>
      </c>
      <c r="B545" t="s">
        <v>1957</v>
      </c>
      <c r="C545" s="46">
        <v>269</v>
      </c>
      <c r="D545" s="46">
        <v>0</v>
      </c>
      <c r="E545" s="46">
        <v>0</v>
      </c>
      <c r="F545" s="46">
        <v>0</v>
      </c>
      <c r="G545" s="46">
        <v>24</v>
      </c>
      <c r="H545" s="46">
        <v>28</v>
      </c>
      <c r="I545" s="46">
        <f t="shared" si="8"/>
        <v>225</v>
      </c>
    </row>
    <row r="546" spans="1:9" x14ac:dyDescent="0.35">
      <c r="A546" t="str">
        <f>"580512"</f>
        <v>580512</v>
      </c>
      <c r="B546" t="s">
        <v>1516</v>
      </c>
      <c r="C546" s="46">
        <v>1233</v>
      </c>
      <c r="D546" s="46">
        <v>0</v>
      </c>
      <c r="E546" s="46">
        <v>12</v>
      </c>
      <c r="F546" s="46">
        <v>0</v>
      </c>
      <c r="G546" s="46">
        <v>23</v>
      </c>
      <c r="H546" s="46">
        <v>79</v>
      </c>
      <c r="I546" s="46">
        <f t="shared" si="8"/>
        <v>1010</v>
      </c>
    </row>
    <row r="547" spans="1:9" x14ac:dyDescent="0.35">
      <c r="A547" t="str">
        <f>"580513"</f>
        <v>580513</v>
      </c>
      <c r="B547" t="s">
        <v>1104</v>
      </c>
      <c r="C547" s="46">
        <v>522</v>
      </c>
      <c r="D547" s="46">
        <v>0</v>
      </c>
      <c r="E547" s="46">
        <v>1</v>
      </c>
      <c r="F547" s="46">
        <v>0</v>
      </c>
      <c r="G547" s="46">
        <v>16</v>
      </c>
      <c r="H547" s="46">
        <v>0</v>
      </c>
      <c r="I547" s="46">
        <f t="shared" si="8"/>
        <v>458</v>
      </c>
    </row>
    <row r="548" spans="1:9" x14ac:dyDescent="0.35">
      <c r="A548" t="str">
        <f>"580514"</f>
        <v>580514</v>
      </c>
      <c r="B548" t="s">
        <v>1958</v>
      </c>
      <c r="C548" s="46">
        <v>4</v>
      </c>
      <c r="D548" s="46">
        <v>0</v>
      </c>
      <c r="E548" s="46">
        <v>0</v>
      </c>
      <c r="F548" s="46">
        <v>0</v>
      </c>
      <c r="G548" s="46">
        <v>0</v>
      </c>
      <c r="H548" s="46">
        <v>0</v>
      </c>
      <c r="I548" s="46">
        <f t="shared" si="8"/>
        <v>3</v>
      </c>
    </row>
    <row r="549" spans="1:9" x14ac:dyDescent="0.35">
      <c r="A549" t="str">
        <f>"580601"</f>
        <v>580601</v>
      </c>
      <c r="B549" t="s">
        <v>1108</v>
      </c>
      <c r="C549" s="46">
        <v>140</v>
      </c>
      <c r="D549" s="46">
        <v>0</v>
      </c>
      <c r="E549" s="46">
        <v>0</v>
      </c>
      <c r="F549" s="46">
        <v>0</v>
      </c>
      <c r="G549" s="46">
        <v>0</v>
      </c>
      <c r="H549" s="46">
        <v>18</v>
      </c>
      <c r="I549" s="46">
        <f t="shared" si="8"/>
        <v>103</v>
      </c>
    </row>
    <row r="550" spans="1:9" x14ac:dyDescent="0.35">
      <c r="A550" t="str">
        <f>"580602"</f>
        <v>580602</v>
      </c>
      <c r="B550" t="s">
        <v>1959</v>
      </c>
      <c r="C550" s="46">
        <v>357</v>
      </c>
      <c r="D550" s="46">
        <v>0</v>
      </c>
      <c r="E550" s="46">
        <v>60</v>
      </c>
      <c r="F550" s="46">
        <v>0</v>
      </c>
      <c r="G550" s="46">
        <v>21</v>
      </c>
      <c r="H550" s="46">
        <v>0</v>
      </c>
      <c r="I550" s="46">
        <f t="shared" si="8"/>
        <v>372</v>
      </c>
    </row>
    <row r="551" spans="1:9" x14ac:dyDescent="0.35">
      <c r="A551" t="str">
        <f>"580701"</f>
        <v>580701</v>
      </c>
      <c r="B551" t="s">
        <v>1112</v>
      </c>
      <c r="C551" s="46">
        <v>8</v>
      </c>
      <c r="D551" s="46">
        <v>0</v>
      </c>
      <c r="E551" s="46">
        <v>0</v>
      </c>
      <c r="F551" s="46">
        <v>0</v>
      </c>
      <c r="G551" s="46">
        <v>0</v>
      </c>
      <c r="H551" s="46">
        <v>2</v>
      </c>
      <c r="I551" s="46">
        <f t="shared" si="8"/>
        <v>5</v>
      </c>
    </row>
    <row r="552" spans="1:9" x14ac:dyDescent="0.35">
      <c r="A552" t="str">
        <f>"580801"</f>
        <v>580801</v>
      </c>
      <c r="B552" t="s">
        <v>1960</v>
      </c>
      <c r="C552" s="46">
        <v>509</v>
      </c>
      <c r="D552" s="46">
        <v>0</v>
      </c>
      <c r="E552" s="46">
        <v>0</v>
      </c>
      <c r="F552" s="46">
        <v>0</v>
      </c>
      <c r="G552" s="46">
        <v>82</v>
      </c>
      <c r="H552" s="46">
        <v>41</v>
      </c>
      <c r="I552" s="46">
        <f t="shared" si="8"/>
        <v>467</v>
      </c>
    </row>
    <row r="553" spans="1:9" x14ac:dyDescent="0.35">
      <c r="A553" t="str">
        <f>"580805"</f>
        <v>580805</v>
      </c>
      <c r="B553" t="s">
        <v>1430</v>
      </c>
      <c r="C553" s="46">
        <v>192</v>
      </c>
      <c r="D553" s="46">
        <v>0</v>
      </c>
      <c r="E553" s="46">
        <v>0</v>
      </c>
      <c r="F553" s="46">
        <v>0</v>
      </c>
      <c r="G553" s="46">
        <v>0</v>
      </c>
      <c r="H553" s="46">
        <v>22</v>
      </c>
      <c r="I553" s="46">
        <f t="shared" si="8"/>
        <v>144</v>
      </c>
    </row>
    <row r="554" spans="1:9" x14ac:dyDescent="0.35">
      <c r="A554" t="str">
        <f>"580901"</f>
        <v>580901</v>
      </c>
      <c r="B554" t="s">
        <v>1961</v>
      </c>
      <c r="C554" s="46">
        <v>14</v>
      </c>
      <c r="D554" s="46">
        <v>0</v>
      </c>
      <c r="E554" s="46">
        <v>0</v>
      </c>
      <c r="F554" s="46">
        <v>0</v>
      </c>
      <c r="G554" s="46">
        <v>15</v>
      </c>
      <c r="H554" s="46">
        <v>0</v>
      </c>
      <c r="I554" s="46">
        <f t="shared" si="8"/>
        <v>24</v>
      </c>
    </row>
    <row r="555" spans="1:9" x14ac:dyDescent="0.35">
      <c r="A555" t="str">
        <f>"580902"</f>
        <v>580902</v>
      </c>
      <c r="B555" t="s">
        <v>1120</v>
      </c>
      <c r="C555" s="46">
        <v>50</v>
      </c>
      <c r="D555" s="46">
        <v>0</v>
      </c>
      <c r="E555" s="46">
        <v>0</v>
      </c>
      <c r="F555" s="46">
        <v>0</v>
      </c>
      <c r="G555" s="46">
        <v>0</v>
      </c>
      <c r="H555" s="46">
        <v>6</v>
      </c>
      <c r="I555" s="46">
        <f t="shared" si="8"/>
        <v>37</v>
      </c>
    </row>
    <row r="556" spans="1:9" x14ac:dyDescent="0.35">
      <c r="A556" t="str">
        <f>"580903"</f>
        <v>580903</v>
      </c>
      <c r="B556" t="s">
        <v>1962</v>
      </c>
      <c r="C556" s="46">
        <v>10</v>
      </c>
      <c r="D556" s="46">
        <v>0</v>
      </c>
      <c r="E556" s="46">
        <v>0</v>
      </c>
      <c r="F556" s="46">
        <v>0</v>
      </c>
      <c r="G556" s="46">
        <v>0</v>
      </c>
      <c r="H556" s="46">
        <v>0</v>
      </c>
      <c r="I556" s="46">
        <f t="shared" si="8"/>
        <v>8</v>
      </c>
    </row>
    <row r="557" spans="1:9" x14ac:dyDescent="0.35">
      <c r="A557" t="str">
        <f>"580905"</f>
        <v>580905</v>
      </c>
      <c r="B557" t="s">
        <v>1963</v>
      </c>
      <c r="C557" s="46">
        <v>121</v>
      </c>
      <c r="D557" s="46">
        <v>0</v>
      </c>
      <c r="E557" s="46">
        <v>0</v>
      </c>
      <c r="F557" s="46">
        <v>0</v>
      </c>
      <c r="G557" s="46">
        <v>0</v>
      </c>
      <c r="H557" s="46">
        <v>0</v>
      </c>
      <c r="I557" s="46">
        <f t="shared" si="8"/>
        <v>102</v>
      </c>
    </row>
    <row r="558" spans="1:9" x14ac:dyDescent="0.35">
      <c r="A558" t="str">
        <f>"580906"</f>
        <v>580906</v>
      </c>
      <c r="B558" t="s">
        <v>1964</v>
      </c>
      <c r="C558" s="46">
        <v>64</v>
      </c>
      <c r="D558" s="46">
        <v>0</v>
      </c>
      <c r="E558" s="46">
        <v>0</v>
      </c>
      <c r="F558" s="46">
        <v>0</v>
      </c>
      <c r="G558" s="46">
        <v>29</v>
      </c>
      <c r="H558" s="46">
        <v>0</v>
      </c>
      <c r="I558" s="46">
        <f t="shared" si="8"/>
        <v>79</v>
      </c>
    </row>
    <row r="559" spans="1:9" x14ac:dyDescent="0.35">
      <c r="A559" t="str">
        <f>"580909"</f>
        <v>580909</v>
      </c>
      <c r="B559" t="s">
        <v>1128</v>
      </c>
      <c r="C559" s="46">
        <v>9</v>
      </c>
      <c r="D559" s="46">
        <v>0</v>
      </c>
      <c r="E559" s="46">
        <v>0</v>
      </c>
      <c r="F559" s="46">
        <v>0</v>
      </c>
      <c r="G559" s="46">
        <v>25</v>
      </c>
      <c r="H559" s="46">
        <v>0</v>
      </c>
      <c r="I559" s="46">
        <f t="shared" si="8"/>
        <v>28</v>
      </c>
    </row>
    <row r="560" spans="1:9" x14ac:dyDescent="0.35">
      <c r="A560" t="str">
        <f>"580912"</f>
        <v>580912</v>
      </c>
      <c r="B560" t="s">
        <v>1130</v>
      </c>
      <c r="C560" s="46">
        <v>164</v>
      </c>
      <c r="D560" s="46">
        <v>0</v>
      </c>
      <c r="E560" s="46">
        <v>0</v>
      </c>
      <c r="F560" s="46">
        <v>0</v>
      </c>
      <c r="G560" s="46">
        <v>0</v>
      </c>
      <c r="H560" s="46">
        <v>0</v>
      </c>
      <c r="I560" s="46">
        <f t="shared" si="8"/>
        <v>139</v>
      </c>
    </row>
    <row r="561" spans="1:9" x14ac:dyDescent="0.35">
      <c r="A561" t="str">
        <f>"580913"</f>
        <v>580913</v>
      </c>
      <c r="B561" t="s">
        <v>1132</v>
      </c>
      <c r="C561" s="46">
        <v>26</v>
      </c>
      <c r="D561" s="46">
        <v>0</v>
      </c>
      <c r="E561" s="46">
        <v>0</v>
      </c>
      <c r="F561" s="46">
        <v>0</v>
      </c>
      <c r="G561" s="46">
        <v>7</v>
      </c>
      <c r="H561" s="46">
        <v>3</v>
      </c>
      <c r="I561" s="46">
        <f t="shared" si="8"/>
        <v>25</v>
      </c>
    </row>
    <row r="562" spans="1:9" x14ac:dyDescent="0.35">
      <c r="A562" t="str">
        <f>"580917"</f>
        <v>580917</v>
      </c>
      <c r="B562" t="s">
        <v>1965</v>
      </c>
      <c r="C562" s="46">
        <v>53</v>
      </c>
      <c r="D562" s="46">
        <v>0</v>
      </c>
      <c r="E562" s="46">
        <v>0</v>
      </c>
      <c r="F562" s="46">
        <v>0</v>
      </c>
      <c r="G562" s="46">
        <v>0</v>
      </c>
      <c r="H562" s="46">
        <v>0</v>
      </c>
      <c r="I562" s="46">
        <f t="shared" si="8"/>
        <v>45</v>
      </c>
    </row>
    <row r="563" spans="1:9" x14ac:dyDescent="0.35">
      <c r="A563" t="str">
        <f>"581002"</f>
        <v>581002</v>
      </c>
      <c r="B563" t="s">
        <v>1966</v>
      </c>
      <c r="C563" s="46">
        <v>11</v>
      </c>
      <c r="D563" s="46">
        <v>0</v>
      </c>
      <c r="E563" s="46">
        <v>0</v>
      </c>
      <c r="F563" s="46">
        <v>0</v>
      </c>
      <c r="G563" s="46">
        <v>0</v>
      </c>
      <c r="H563" s="46">
        <v>0</v>
      </c>
      <c r="I563" s="46">
        <f t="shared" si="8"/>
        <v>9</v>
      </c>
    </row>
    <row r="564" spans="1:9" x14ac:dyDescent="0.35">
      <c r="A564" t="str">
        <f>"581004"</f>
        <v>581004</v>
      </c>
      <c r="B564" t="s">
        <v>1138</v>
      </c>
      <c r="C564" s="46">
        <v>3</v>
      </c>
      <c r="D564" s="46">
        <v>0</v>
      </c>
      <c r="E564" s="46">
        <v>0</v>
      </c>
      <c r="F564" s="46">
        <v>0</v>
      </c>
      <c r="G564" s="46">
        <v>0</v>
      </c>
      <c r="H564" s="46">
        <v>0</v>
      </c>
      <c r="I564" s="46">
        <f t="shared" si="8"/>
        <v>2</v>
      </c>
    </row>
    <row r="565" spans="1:9" x14ac:dyDescent="0.35">
      <c r="A565" t="str">
        <f>"581005"</f>
        <v>581005</v>
      </c>
      <c r="B565" t="s">
        <v>1967</v>
      </c>
      <c r="C565" s="46">
        <v>47</v>
      </c>
      <c r="D565" s="46">
        <v>0</v>
      </c>
      <c r="E565" s="46">
        <v>0</v>
      </c>
      <c r="F565" s="46">
        <v>0</v>
      </c>
      <c r="G565" s="46">
        <v>0</v>
      </c>
      <c r="H565" s="46">
        <v>0</v>
      </c>
      <c r="I565" s="46">
        <f t="shared" si="8"/>
        <v>39</v>
      </c>
    </row>
    <row r="566" spans="1:9" x14ac:dyDescent="0.35">
      <c r="A566" t="str">
        <f>"581010"</f>
        <v>581010</v>
      </c>
      <c r="B566" t="s">
        <v>1528</v>
      </c>
      <c r="C566" s="46">
        <v>40</v>
      </c>
      <c r="D566" s="46">
        <v>0</v>
      </c>
      <c r="E566" s="46">
        <v>0</v>
      </c>
      <c r="F566" s="46">
        <v>0</v>
      </c>
      <c r="G566" s="46">
        <v>0</v>
      </c>
      <c r="H566" s="46">
        <v>0</v>
      </c>
      <c r="I566" s="46">
        <f t="shared" si="8"/>
        <v>34</v>
      </c>
    </row>
    <row r="567" spans="1:9" x14ac:dyDescent="0.35">
      <c r="A567" t="str">
        <f>"581012"</f>
        <v>581012</v>
      </c>
      <c r="B567" t="s">
        <v>1144</v>
      </c>
      <c r="C567" s="46">
        <v>49</v>
      </c>
      <c r="D567" s="46">
        <v>0</v>
      </c>
      <c r="E567" s="46">
        <v>0</v>
      </c>
      <c r="F567" s="46">
        <v>0</v>
      </c>
      <c r="G567" s="46">
        <v>0</v>
      </c>
      <c r="H567" s="46">
        <v>2</v>
      </c>
      <c r="I567" s="46">
        <f t="shared" si="8"/>
        <v>39</v>
      </c>
    </row>
    <row r="568" spans="1:9" x14ac:dyDescent="0.35">
      <c r="A568" t="str">
        <f>"590501"</f>
        <v>590501</v>
      </c>
      <c r="B568" t="s">
        <v>1968</v>
      </c>
      <c r="C568" s="46">
        <v>115</v>
      </c>
      <c r="D568" s="46">
        <v>0</v>
      </c>
      <c r="E568" s="46">
        <v>0</v>
      </c>
      <c r="F568" s="46">
        <v>0</v>
      </c>
      <c r="G568" s="46">
        <v>29</v>
      </c>
      <c r="H568" s="46">
        <v>0</v>
      </c>
      <c r="I568" s="46">
        <f t="shared" si="8"/>
        <v>122</v>
      </c>
    </row>
    <row r="569" spans="1:9" x14ac:dyDescent="0.35">
      <c r="A569" t="str">
        <f>"590801"</f>
        <v>590801</v>
      </c>
      <c r="B569" t="s">
        <v>1969</v>
      </c>
      <c r="C569" s="46">
        <v>30</v>
      </c>
      <c r="D569" s="46">
        <v>0</v>
      </c>
      <c r="E569" s="46">
        <v>0</v>
      </c>
      <c r="F569" s="46">
        <v>0</v>
      </c>
      <c r="G569" s="46">
        <v>30</v>
      </c>
      <c r="H569" s="46">
        <v>1</v>
      </c>
      <c r="I569" s="46">
        <f t="shared" si="8"/>
        <v>50</v>
      </c>
    </row>
    <row r="570" spans="1:9" x14ac:dyDescent="0.35">
      <c r="A570" t="str">
        <f>"590901"</f>
        <v>590901</v>
      </c>
      <c r="B570" t="s">
        <v>1970</v>
      </c>
      <c r="C570" s="46">
        <v>116</v>
      </c>
      <c r="D570" s="46">
        <v>0</v>
      </c>
      <c r="E570" s="46">
        <v>0</v>
      </c>
      <c r="F570" s="46">
        <v>0</v>
      </c>
      <c r="G570" s="46">
        <v>18</v>
      </c>
      <c r="H570" s="46">
        <v>10</v>
      </c>
      <c r="I570" s="46">
        <f t="shared" si="8"/>
        <v>105</v>
      </c>
    </row>
    <row r="571" spans="1:9" x14ac:dyDescent="0.35">
      <c r="A571" t="str">
        <f>"591201"</f>
        <v>591201</v>
      </c>
      <c r="B571" t="s">
        <v>1540</v>
      </c>
      <c r="C571" s="46">
        <v>70</v>
      </c>
      <c r="D571" s="46">
        <v>0</v>
      </c>
      <c r="E571" s="46">
        <v>0</v>
      </c>
      <c r="F571" s="46">
        <v>0</v>
      </c>
      <c r="G571" s="46">
        <v>0</v>
      </c>
      <c r="H571" s="46">
        <v>5</v>
      </c>
      <c r="I571" s="46">
        <f t="shared" si="8"/>
        <v>55</v>
      </c>
    </row>
    <row r="572" spans="1:9" x14ac:dyDescent="0.35">
      <c r="A572" t="str">
        <f>"591301"</f>
        <v>591301</v>
      </c>
      <c r="B572" t="s">
        <v>1971</v>
      </c>
      <c r="C572" s="46">
        <v>16</v>
      </c>
      <c r="D572" s="46">
        <v>0</v>
      </c>
      <c r="E572" s="46">
        <v>0</v>
      </c>
      <c r="F572" s="46">
        <v>0</v>
      </c>
      <c r="G572" s="46">
        <v>0</v>
      </c>
      <c r="H572" s="46">
        <v>0</v>
      </c>
      <c r="I572" s="46">
        <f t="shared" si="8"/>
        <v>13</v>
      </c>
    </row>
    <row r="573" spans="1:9" x14ac:dyDescent="0.35">
      <c r="A573" t="str">
        <f>"591302"</f>
        <v>591302</v>
      </c>
      <c r="B573" t="s">
        <v>1156</v>
      </c>
      <c r="C573" s="46">
        <v>25</v>
      </c>
      <c r="D573" s="46">
        <v>0</v>
      </c>
      <c r="E573" s="46">
        <v>0</v>
      </c>
      <c r="F573" s="46">
        <v>0</v>
      </c>
      <c r="G573" s="46">
        <v>0</v>
      </c>
      <c r="H573" s="46">
        <v>0</v>
      </c>
      <c r="I573" s="46">
        <f t="shared" si="8"/>
        <v>21</v>
      </c>
    </row>
    <row r="574" spans="1:9" x14ac:dyDescent="0.35">
      <c r="A574" t="str">
        <f>"591401"</f>
        <v>591401</v>
      </c>
      <c r="B574" t="s">
        <v>1534</v>
      </c>
      <c r="C574" s="46">
        <v>203</v>
      </c>
      <c r="D574" s="46">
        <v>0</v>
      </c>
      <c r="E574" s="46">
        <v>0</v>
      </c>
      <c r="F574" s="46">
        <v>0</v>
      </c>
      <c r="G574" s="46">
        <v>80</v>
      </c>
      <c r="H574" s="46">
        <v>42</v>
      </c>
      <c r="I574" s="46">
        <f t="shared" si="8"/>
        <v>204</v>
      </c>
    </row>
    <row r="575" spans="1:9" x14ac:dyDescent="0.35">
      <c r="A575" t="str">
        <f>"591502"</f>
        <v>591502</v>
      </c>
      <c r="B575" t="s">
        <v>1972</v>
      </c>
      <c r="C575" s="46">
        <v>71</v>
      </c>
      <c r="D575" s="46">
        <v>0</v>
      </c>
      <c r="E575" s="46">
        <v>0</v>
      </c>
      <c r="F575" s="46">
        <v>0</v>
      </c>
      <c r="G575" s="46">
        <v>0</v>
      </c>
      <c r="H575" s="46">
        <v>0</v>
      </c>
      <c r="I575" s="46">
        <f t="shared" si="8"/>
        <v>60</v>
      </c>
    </row>
    <row r="576" spans="1:9" x14ac:dyDescent="0.35">
      <c r="A576" t="str">
        <f>"600101"</f>
        <v>600101</v>
      </c>
      <c r="B576" t="s">
        <v>1973</v>
      </c>
      <c r="C576" s="46">
        <v>93</v>
      </c>
      <c r="D576" s="46">
        <v>0</v>
      </c>
      <c r="E576" s="46">
        <v>0</v>
      </c>
      <c r="F576" s="46">
        <v>0</v>
      </c>
      <c r="G576" s="46">
        <v>0</v>
      </c>
      <c r="H576" s="46">
        <v>3</v>
      </c>
      <c r="I576" s="46">
        <f t="shared" si="8"/>
        <v>76</v>
      </c>
    </row>
    <row r="577" spans="1:9" x14ac:dyDescent="0.35">
      <c r="A577" t="str">
        <f>"600301"</f>
        <v>600301</v>
      </c>
      <c r="B577" t="s">
        <v>1974</v>
      </c>
      <c r="C577" s="46">
        <v>44</v>
      </c>
      <c r="D577" s="46">
        <v>0</v>
      </c>
      <c r="E577" s="46">
        <v>0</v>
      </c>
      <c r="F577" s="46">
        <v>0</v>
      </c>
      <c r="G577" s="46">
        <v>0</v>
      </c>
      <c r="H577" s="46">
        <v>0</v>
      </c>
      <c r="I577" s="46">
        <f t="shared" si="8"/>
        <v>37</v>
      </c>
    </row>
    <row r="578" spans="1:9" x14ac:dyDescent="0.35">
      <c r="A578" t="str">
        <f>"600402"</f>
        <v>600402</v>
      </c>
      <c r="B578" t="s">
        <v>1165</v>
      </c>
      <c r="C578" s="46">
        <v>62</v>
      </c>
      <c r="D578" s="46">
        <v>0</v>
      </c>
      <c r="E578" s="46">
        <v>0</v>
      </c>
      <c r="F578" s="46">
        <v>0</v>
      </c>
      <c r="G578" s="46">
        <v>0</v>
      </c>
      <c r="H578" s="46">
        <v>3</v>
      </c>
      <c r="I578" s="46">
        <f t="shared" ref="I578:I641" si="9">MAX(TRUNC((C578+D578+E578+F578+G578-H578)*0.85,0),0)</f>
        <v>50</v>
      </c>
    </row>
    <row r="579" spans="1:9" x14ac:dyDescent="0.35">
      <c r="A579" t="str">
        <f>"600601"</f>
        <v>600601</v>
      </c>
      <c r="B579" t="s">
        <v>1167</v>
      </c>
      <c r="C579" s="46">
        <v>131</v>
      </c>
      <c r="D579" s="46">
        <v>0</v>
      </c>
      <c r="E579" s="46">
        <v>0</v>
      </c>
      <c r="F579" s="46">
        <v>0</v>
      </c>
      <c r="G579" s="46">
        <v>0</v>
      </c>
      <c r="H579" s="46">
        <v>3</v>
      </c>
      <c r="I579" s="46">
        <f t="shared" si="9"/>
        <v>108</v>
      </c>
    </row>
    <row r="580" spans="1:9" x14ac:dyDescent="0.35">
      <c r="A580" t="str">
        <f>"600801"</f>
        <v>600801</v>
      </c>
      <c r="B580" t="s">
        <v>1975</v>
      </c>
      <c r="C580" s="46">
        <v>46</v>
      </c>
      <c r="D580" s="46">
        <v>0</v>
      </c>
      <c r="E580" s="46">
        <v>0</v>
      </c>
      <c r="F580" s="46">
        <v>0</v>
      </c>
      <c r="G580" s="46">
        <v>0</v>
      </c>
      <c r="H580" s="46">
        <v>0</v>
      </c>
      <c r="I580" s="46">
        <f t="shared" si="9"/>
        <v>39</v>
      </c>
    </row>
    <row r="581" spans="1:9" x14ac:dyDescent="0.35">
      <c r="A581" t="str">
        <f>"600903"</f>
        <v>600903</v>
      </c>
      <c r="B581" t="s">
        <v>1976</v>
      </c>
      <c r="C581" s="46">
        <v>56</v>
      </c>
      <c r="D581" s="46">
        <v>0</v>
      </c>
      <c r="E581" s="46">
        <v>0</v>
      </c>
      <c r="F581" s="46">
        <v>0</v>
      </c>
      <c r="G581" s="46">
        <v>0</v>
      </c>
      <c r="H581" s="46">
        <v>8</v>
      </c>
      <c r="I581" s="46">
        <f t="shared" si="9"/>
        <v>40</v>
      </c>
    </row>
    <row r="582" spans="1:9" x14ac:dyDescent="0.35">
      <c r="A582" t="str">
        <f>"610301"</f>
        <v>610301</v>
      </c>
      <c r="B582" t="s">
        <v>1977</v>
      </c>
      <c r="C582" s="46">
        <v>111</v>
      </c>
      <c r="D582" s="46">
        <v>0</v>
      </c>
      <c r="E582" s="46">
        <v>2</v>
      </c>
      <c r="F582" s="46">
        <v>0</v>
      </c>
      <c r="G582" s="46">
        <v>5</v>
      </c>
      <c r="H582" s="46">
        <v>0</v>
      </c>
      <c r="I582" s="46">
        <f t="shared" si="9"/>
        <v>100</v>
      </c>
    </row>
    <row r="583" spans="1:9" x14ac:dyDescent="0.35">
      <c r="A583" t="str">
        <f>"610501"</f>
        <v>610501</v>
      </c>
      <c r="B583" t="s">
        <v>1978</v>
      </c>
      <c r="C583" s="46">
        <v>53</v>
      </c>
      <c r="D583" s="46">
        <v>0</v>
      </c>
      <c r="E583" s="46">
        <v>0</v>
      </c>
      <c r="F583" s="46">
        <v>0</v>
      </c>
      <c r="G583" s="46">
        <v>0</v>
      </c>
      <c r="H583" s="46">
        <v>9</v>
      </c>
      <c r="I583" s="46">
        <f t="shared" si="9"/>
        <v>37</v>
      </c>
    </row>
    <row r="584" spans="1:9" x14ac:dyDescent="0.35">
      <c r="A584" t="str">
        <f>"610600"</f>
        <v>610600</v>
      </c>
      <c r="B584" t="s">
        <v>1531</v>
      </c>
      <c r="C584" s="46">
        <v>353</v>
      </c>
      <c r="D584" s="46">
        <v>0</v>
      </c>
      <c r="E584" s="46">
        <v>0</v>
      </c>
      <c r="F584" s="46">
        <v>0</v>
      </c>
      <c r="G584" s="46">
        <v>31</v>
      </c>
      <c r="H584" s="46">
        <v>0</v>
      </c>
      <c r="I584" s="46">
        <f t="shared" si="9"/>
        <v>326</v>
      </c>
    </row>
    <row r="585" spans="1:9" x14ac:dyDescent="0.35">
      <c r="A585" t="str">
        <f>"610801"</f>
        <v>610801</v>
      </c>
      <c r="B585" t="s">
        <v>1979</v>
      </c>
      <c r="C585" s="46">
        <v>64</v>
      </c>
      <c r="D585" s="46">
        <v>0</v>
      </c>
      <c r="E585" s="46">
        <v>0</v>
      </c>
      <c r="F585" s="46">
        <v>0</v>
      </c>
      <c r="G585" s="46">
        <v>0</v>
      </c>
      <c r="H585" s="46">
        <v>0</v>
      </c>
      <c r="I585" s="46">
        <f t="shared" si="9"/>
        <v>54</v>
      </c>
    </row>
    <row r="586" spans="1:9" x14ac:dyDescent="0.35">
      <c r="A586" t="str">
        <f>"610901"</f>
        <v>610901</v>
      </c>
      <c r="B586" t="s">
        <v>1980</v>
      </c>
      <c r="C586" s="46">
        <v>42</v>
      </c>
      <c r="D586" s="46">
        <v>0</v>
      </c>
      <c r="E586" s="46">
        <v>0</v>
      </c>
      <c r="F586" s="46">
        <v>0</v>
      </c>
      <c r="G586" s="46">
        <v>0</v>
      </c>
      <c r="H586" s="46">
        <v>3</v>
      </c>
      <c r="I586" s="46">
        <f t="shared" si="9"/>
        <v>33</v>
      </c>
    </row>
    <row r="587" spans="1:9" x14ac:dyDescent="0.35">
      <c r="A587" t="str">
        <f>"611001"</f>
        <v>611001</v>
      </c>
      <c r="B587" t="s">
        <v>1981</v>
      </c>
      <c r="C587" s="46">
        <v>64</v>
      </c>
      <c r="D587" s="46">
        <v>0</v>
      </c>
      <c r="E587" s="46">
        <v>0</v>
      </c>
      <c r="F587" s="46">
        <v>0</v>
      </c>
      <c r="G587" s="46">
        <v>0</v>
      </c>
      <c r="H587" s="46">
        <v>4</v>
      </c>
      <c r="I587" s="46">
        <f t="shared" si="9"/>
        <v>51</v>
      </c>
    </row>
    <row r="588" spans="1:9" x14ac:dyDescent="0.35">
      <c r="A588" t="str">
        <f>"620600"</f>
        <v>620600</v>
      </c>
      <c r="B588" t="s">
        <v>1982</v>
      </c>
      <c r="C588" s="46">
        <v>453</v>
      </c>
      <c r="D588" s="46">
        <v>0</v>
      </c>
      <c r="E588" s="46">
        <v>0</v>
      </c>
      <c r="F588" s="46">
        <v>0</v>
      </c>
      <c r="G588" s="46">
        <v>36</v>
      </c>
      <c r="H588" s="46">
        <v>0</v>
      </c>
      <c r="I588" s="46">
        <f t="shared" si="9"/>
        <v>415</v>
      </c>
    </row>
    <row r="589" spans="1:9" x14ac:dyDescent="0.35">
      <c r="A589" t="str">
        <f>"620803"</f>
        <v>620803</v>
      </c>
      <c r="B589" t="s">
        <v>1983</v>
      </c>
      <c r="C589" s="46">
        <v>100</v>
      </c>
      <c r="D589" s="46">
        <v>0</v>
      </c>
      <c r="E589" s="46">
        <v>0</v>
      </c>
      <c r="F589" s="46">
        <v>0</v>
      </c>
      <c r="G589" s="46">
        <v>0</v>
      </c>
      <c r="H589" s="46">
        <v>20</v>
      </c>
      <c r="I589" s="46">
        <f t="shared" si="9"/>
        <v>68</v>
      </c>
    </row>
    <row r="590" spans="1:9" x14ac:dyDescent="0.35">
      <c r="A590" t="str">
        <f>"620901"</f>
        <v>620901</v>
      </c>
      <c r="B590" t="s">
        <v>1189</v>
      </c>
      <c r="C590" s="46">
        <v>114</v>
      </c>
      <c r="D590" s="46">
        <v>0</v>
      </c>
      <c r="E590" s="46">
        <v>0</v>
      </c>
      <c r="F590" s="46">
        <v>0</v>
      </c>
      <c r="G590" s="46">
        <v>30</v>
      </c>
      <c r="H590" s="46">
        <v>22</v>
      </c>
      <c r="I590" s="46">
        <f t="shared" si="9"/>
        <v>103</v>
      </c>
    </row>
    <row r="591" spans="1:9" x14ac:dyDescent="0.35">
      <c r="A591" t="str">
        <f>"621001"</f>
        <v>621001</v>
      </c>
      <c r="B591" t="s">
        <v>1984</v>
      </c>
      <c r="C591" s="46">
        <v>122</v>
      </c>
      <c r="D591" s="46">
        <v>0</v>
      </c>
      <c r="E591" s="46">
        <v>0</v>
      </c>
      <c r="F591" s="46">
        <v>0</v>
      </c>
      <c r="G591" s="46">
        <v>0</v>
      </c>
      <c r="H591" s="46">
        <v>3</v>
      </c>
      <c r="I591" s="46">
        <f t="shared" si="9"/>
        <v>101</v>
      </c>
    </row>
    <row r="592" spans="1:9" x14ac:dyDescent="0.35">
      <c r="A592" t="str">
        <f>"621101"</f>
        <v>621101</v>
      </c>
      <c r="B592" t="s">
        <v>1985</v>
      </c>
      <c r="C592" s="46">
        <v>92</v>
      </c>
      <c r="D592" s="46">
        <v>0</v>
      </c>
      <c r="E592" s="46">
        <v>0</v>
      </c>
      <c r="F592" s="46">
        <v>0</v>
      </c>
      <c r="G592" s="46">
        <v>28</v>
      </c>
      <c r="H592" s="46">
        <v>0</v>
      </c>
      <c r="I592" s="46">
        <f t="shared" si="9"/>
        <v>102</v>
      </c>
    </row>
    <row r="593" spans="1:9" x14ac:dyDescent="0.35">
      <c r="A593" t="str">
        <f>"621201"</f>
        <v>621201</v>
      </c>
      <c r="B593" t="s">
        <v>1986</v>
      </c>
      <c r="C593" s="46">
        <v>67</v>
      </c>
      <c r="D593" s="46">
        <v>0</v>
      </c>
      <c r="E593" s="46">
        <v>0</v>
      </c>
      <c r="F593" s="46">
        <v>0</v>
      </c>
      <c r="G593" s="46">
        <v>0</v>
      </c>
      <c r="H593" s="46">
        <v>5</v>
      </c>
      <c r="I593" s="46">
        <f t="shared" si="9"/>
        <v>52</v>
      </c>
    </row>
    <row r="594" spans="1:9" x14ac:dyDescent="0.35">
      <c r="A594" t="str">
        <f>"621601"</f>
        <v>621601</v>
      </c>
      <c r="B594" t="s">
        <v>1538</v>
      </c>
      <c r="C594" s="46">
        <v>139</v>
      </c>
      <c r="D594" s="46">
        <v>0</v>
      </c>
      <c r="E594" s="46">
        <v>0</v>
      </c>
      <c r="F594" s="46">
        <v>0</v>
      </c>
      <c r="G594" s="46">
        <v>29</v>
      </c>
      <c r="H594" s="46">
        <v>2</v>
      </c>
      <c r="I594" s="46">
        <f t="shared" si="9"/>
        <v>141</v>
      </c>
    </row>
    <row r="595" spans="1:9" x14ac:dyDescent="0.35">
      <c r="A595" t="str">
        <f>"621801"</f>
        <v>621801</v>
      </c>
      <c r="B595" t="s">
        <v>1987</v>
      </c>
      <c r="C595" s="46">
        <v>179</v>
      </c>
      <c r="D595" s="46">
        <v>0</v>
      </c>
      <c r="E595" s="46">
        <v>0</v>
      </c>
      <c r="F595" s="46">
        <v>0</v>
      </c>
      <c r="G595" s="46">
        <v>0</v>
      </c>
      <c r="H595" s="46">
        <v>19</v>
      </c>
      <c r="I595" s="46">
        <f t="shared" si="9"/>
        <v>136</v>
      </c>
    </row>
    <row r="596" spans="1:9" x14ac:dyDescent="0.35">
      <c r="A596" t="str">
        <f>"622002"</f>
        <v>622002</v>
      </c>
      <c r="B596" t="s">
        <v>1521</v>
      </c>
      <c r="C596" s="46">
        <v>85</v>
      </c>
      <c r="D596" s="46">
        <v>0</v>
      </c>
      <c r="E596" s="46">
        <v>0</v>
      </c>
      <c r="F596" s="46">
        <v>0</v>
      </c>
      <c r="G596" s="46">
        <v>0</v>
      </c>
      <c r="H596" s="46">
        <v>0</v>
      </c>
      <c r="I596" s="46">
        <f t="shared" si="9"/>
        <v>72</v>
      </c>
    </row>
    <row r="597" spans="1:9" x14ac:dyDescent="0.35">
      <c r="A597" t="str">
        <f>"630101"</f>
        <v>630101</v>
      </c>
      <c r="B597" t="s">
        <v>1988</v>
      </c>
      <c r="C597" s="46">
        <v>7</v>
      </c>
      <c r="D597" s="46">
        <v>0</v>
      </c>
      <c r="E597" s="46">
        <v>0</v>
      </c>
      <c r="F597" s="46">
        <v>0</v>
      </c>
      <c r="G597" s="46">
        <v>0</v>
      </c>
      <c r="H597" s="46">
        <v>0</v>
      </c>
      <c r="I597" s="46">
        <f t="shared" si="9"/>
        <v>5</v>
      </c>
    </row>
    <row r="598" spans="1:9" x14ac:dyDescent="0.35">
      <c r="A598" t="str">
        <f>"630202"</f>
        <v>630202</v>
      </c>
      <c r="B598" t="s">
        <v>1989</v>
      </c>
      <c r="C598" s="46">
        <v>27</v>
      </c>
      <c r="D598" s="46">
        <v>0</v>
      </c>
      <c r="E598" s="46">
        <v>0</v>
      </c>
      <c r="F598" s="46">
        <v>0</v>
      </c>
      <c r="G598" s="46">
        <v>0</v>
      </c>
      <c r="H598" s="46">
        <v>0</v>
      </c>
      <c r="I598" s="46">
        <f t="shared" si="9"/>
        <v>22</v>
      </c>
    </row>
    <row r="599" spans="1:9" x14ac:dyDescent="0.35">
      <c r="A599" t="str">
        <f>"630300"</f>
        <v>630300</v>
      </c>
      <c r="B599" t="s">
        <v>1990</v>
      </c>
      <c r="C599" s="46">
        <v>125</v>
      </c>
      <c r="D599" s="46">
        <v>0</v>
      </c>
      <c r="E599" s="46">
        <v>0</v>
      </c>
      <c r="F599" s="46">
        <v>0</v>
      </c>
      <c r="G599" s="46">
        <v>18</v>
      </c>
      <c r="H599" s="46">
        <v>0</v>
      </c>
      <c r="I599" s="46">
        <f t="shared" si="9"/>
        <v>121</v>
      </c>
    </row>
    <row r="600" spans="1:9" x14ac:dyDescent="0.35">
      <c r="A600" t="str">
        <f>"630601"</f>
        <v>630601</v>
      </c>
      <c r="B600" t="s">
        <v>1991</v>
      </c>
      <c r="C600" s="46">
        <v>19</v>
      </c>
      <c r="D600" s="46">
        <v>0</v>
      </c>
      <c r="E600" s="46">
        <v>0</v>
      </c>
      <c r="F600" s="46">
        <v>0</v>
      </c>
      <c r="G600" s="46">
        <v>0</v>
      </c>
      <c r="H600" s="46">
        <v>0</v>
      </c>
      <c r="I600" s="46">
        <f t="shared" si="9"/>
        <v>16</v>
      </c>
    </row>
    <row r="601" spans="1:9" x14ac:dyDescent="0.35">
      <c r="A601" t="str">
        <f>"630701"</f>
        <v>630701</v>
      </c>
      <c r="B601" t="s">
        <v>1992</v>
      </c>
      <c r="C601" s="46">
        <v>34</v>
      </c>
      <c r="D601" s="46">
        <v>0</v>
      </c>
      <c r="E601" s="46">
        <v>0</v>
      </c>
      <c r="F601" s="46">
        <v>0</v>
      </c>
      <c r="G601" s="46">
        <v>0</v>
      </c>
      <c r="H601" s="46">
        <v>2</v>
      </c>
      <c r="I601" s="46">
        <f t="shared" si="9"/>
        <v>27</v>
      </c>
    </row>
    <row r="602" spans="1:9" x14ac:dyDescent="0.35">
      <c r="A602" t="str">
        <f>"630801"</f>
        <v>630801</v>
      </c>
      <c r="B602" t="s">
        <v>1993</v>
      </c>
      <c r="C602" s="46">
        <v>59</v>
      </c>
      <c r="D602" s="46">
        <v>0</v>
      </c>
      <c r="E602" s="46">
        <v>0</v>
      </c>
      <c r="F602" s="46">
        <v>0</v>
      </c>
      <c r="G602" s="46">
        <v>0</v>
      </c>
      <c r="H602" s="46">
        <v>0</v>
      </c>
      <c r="I602" s="46">
        <f t="shared" si="9"/>
        <v>50</v>
      </c>
    </row>
    <row r="603" spans="1:9" x14ac:dyDescent="0.35">
      <c r="A603" t="str">
        <f>"630902"</f>
        <v>630902</v>
      </c>
      <c r="B603" t="s">
        <v>1994</v>
      </c>
      <c r="C603" s="46">
        <v>201</v>
      </c>
      <c r="D603" s="46">
        <v>0</v>
      </c>
      <c r="E603" s="46">
        <v>0</v>
      </c>
      <c r="F603" s="46">
        <v>0</v>
      </c>
      <c r="G603" s="46">
        <v>0</v>
      </c>
      <c r="H603" s="46">
        <v>0</v>
      </c>
      <c r="I603" s="46">
        <f t="shared" si="9"/>
        <v>170</v>
      </c>
    </row>
    <row r="604" spans="1:9" x14ac:dyDescent="0.35">
      <c r="A604" t="str">
        <f>"630918"</f>
        <v>630918</v>
      </c>
      <c r="B604" t="s">
        <v>1217</v>
      </c>
      <c r="C604" s="46">
        <v>26</v>
      </c>
      <c r="D604" s="46">
        <v>0</v>
      </c>
      <c r="E604" s="46">
        <v>0</v>
      </c>
      <c r="F604" s="46">
        <v>0</v>
      </c>
      <c r="G604" s="46">
        <v>0</v>
      </c>
      <c r="H604" s="46">
        <v>0</v>
      </c>
      <c r="I604" s="46">
        <f t="shared" si="9"/>
        <v>22</v>
      </c>
    </row>
    <row r="605" spans="1:9" x14ac:dyDescent="0.35">
      <c r="A605" t="str">
        <f>"631201"</f>
        <v>631201</v>
      </c>
      <c r="B605" t="s">
        <v>1995</v>
      </c>
      <c r="C605" s="46">
        <v>53</v>
      </c>
      <c r="D605" s="46">
        <v>0</v>
      </c>
      <c r="E605" s="46">
        <v>0</v>
      </c>
      <c r="F605" s="46">
        <v>0</v>
      </c>
      <c r="G605" s="46">
        <v>0</v>
      </c>
      <c r="H605" s="46">
        <v>1</v>
      </c>
      <c r="I605" s="46">
        <f t="shared" si="9"/>
        <v>44</v>
      </c>
    </row>
    <row r="606" spans="1:9" x14ac:dyDescent="0.35">
      <c r="A606" t="str">
        <f>"640101"</f>
        <v>640101</v>
      </c>
      <c r="B606" t="s">
        <v>1996</v>
      </c>
      <c r="C606" s="46">
        <v>38</v>
      </c>
      <c r="D606" s="46">
        <v>0</v>
      </c>
      <c r="E606" s="46">
        <v>0</v>
      </c>
      <c r="F606" s="46">
        <v>0</v>
      </c>
      <c r="G606" s="46">
        <v>0</v>
      </c>
      <c r="H606" s="46">
        <v>0</v>
      </c>
      <c r="I606" s="46">
        <f t="shared" si="9"/>
        <v>32</v>
      </c>
    </row>
    <row r="607" spans="1:9" x14ac:dyDescent="0.35">
      <c r="A607" t="str">
        <f>"640502"</f>
        <v>640502</v>
      </c>
      <c r="B607" t="s">
        <v>1997</v>
      </c>
      <c r="C607" s="46">
        <v>44</v>
      </c>
      <c r="D607" s="46">
        <v>0</v>
      </c>
      <c r="E607" s="46">
        <v>0</v>
      </c>
      <c r="F607" s="46">
        <v>0</v>
      </c>
      <c r="G607" s="46">
        <v>0</v>
      </c>
      <c r="H607" s="46">
        <v>0</v>
      </c>
      <c r="I607" s="46">
        <f t="shared" si="9"/>
        <v>37</v>
      </c>
    </row>
    <row r="608" spans="1:9" x14ac:dyDescent="0.35">
      <c r="A608" t="str">
        <f>"640601"</f>
        <v>640601</v>
      </c>
      <c r="B608" t="s">
        <v>1998</v>
      </c>
      <c r="C608" s="46">
        <v>31</v>
      </c>
      <c r="D608" s="46">
        <v>0</v>
      </c>
      <c r="E608" s="46">
        <v>0</v>
      </c>
      <c r="F608" s="46">
        <v>0</v>
      </c>
      <c r="G608" s="46">
        <v>0</v>
      </c>
      <c r="H608" s="46">
        <v>3</v>
      </c>
      <c r="I608" s="46">
        <f t="shared" si="9"/>
        <v>23</v>
      </c>
    </row>
    <row r="609" spans="1:9" x14ac:dyDescent="0.35">
      <c r="A609" t="str">
        <f>"640701"</f>
        <v>640701</v>
      </c>
      <c r="B609" t="s">
        <v>1999</v>
      </c>
      <c r="C609" s="46">
        <v>75</v>
      </c>
      <c r="D609" s="46">
        <v>0</v>
      </c>
      <c r="E609" s="46">
        <v>0</v>
      </c>
      <c r="F609" s="46">
        <v>0</v>
      </c>
      <c r="G609" s="46">
        <v>3</v>
      </c>
      <c r="H609" s="46">
        <v>0</v>
      </c>
      <c r="I609" s="46">
        <f t="shared" si="9"/>
        <v>66</v>
      </c>
    </row>
    <row r="610" spans="1:9" x14ac:dyDescent="0.35">
      <c r="A610" t="str">
        <f>"640801"</f>
        <v>640801</v>
      </c>
      <c r="B610" t="s">
        <v>2000</v>
      </c>
      <c r="C610" s="46">
        <v>56</v>
      </c>
      <c r="D610" s="46">
        <v>0</v>
      </c>
      <c r="E610" s="46">
        <v>0</v>
      </c>
      <c r="F610" s="46">
        <v>0</v>
      </c>
      <c r="G610" s="46">
        <v>0</v>
      </c>
      <c r="H610" s="46">
        <v>0</v>
      </c>
      <c r="I610" s="46">
        <f t="shared" si="9"/>
        <v>47</v>
      </c>
    </row>
    <row r="611" spans="1:9" x14ac:dyDescent="0.35">
      <c r="A611" t="str">
        <f>"641001"</f>
        <v>641001</v>
      </c>
      <c r="B611" t="s">
        <v>2001</v>
      </c>
      <c r="C611" s="46">
        <v>21</v>
      </c>
      <c r="D611" s="46">
        <v>0</v>
      </c>
      <c r="E611" s="46">
        <v>0</v>
      </c>
      <c r="F611" s="46">
        <v>0</v>
      </c>
      <c r="G611" s="46">
        <v>0</v>
      </c>
      <c r="H611" s="46">
        <v>0</v>
      </c>
      <c r="I611" s="46">
        <f t="shared" si="9"/>
        <v>17</v>
      </c>
    </row>
    <row r="612" spans="1:9" x14ac:dyDescent="0.35">
      <c r="A612" t="str">
        <f>"641301"</f>
        <v>641301</v>
      </c>
      <c r="B612" t="s">
        <v>2002</v>
      </c>
      <c r="C612" s="46">
        <v>138</v>
      </c>
      <c r="D612" s="46">
        <v>0</v>
      </c>
      <c r="E612" s="46">
        <v>0</v>
      </c>
      <c r="F612" s="46">
        <v>0</v>
      </c>
      <c r="G612" s="46">
        <v>0</v>
      </c>
      <c r="H612" s="46">
        <v>37</v>
      </c>
      <c r="I612" s="46">
        <f t="shared" si="9"/>
        <v>85</v>
      </c>
    </row>
    <row r="613" spans="1:9" x14ac:dyDescent="0.35">
      <c r="A613" t="str">
        <f>"641401"</f>
        <v>641401</v>
      </c>
      <c r="B613" t="s">
        <v>2003</v>
      </c>
      <c r="C613" s="46">
        <v>5</v>
      </c>
      <c r="D613" s="46">
        <v>0</v>
      </c>
      <c r="E613" s="46">
        <v>0</v>
      </c>
      <c r="F613" s="46">
        <v>0</v>
      </c>
      <c r="G613" s="46">
        <v>0</v>
      </c>
      <c r="H613" s="46">
        <v>0</v>
      </c>
      <c r="I613" s="46">
        <f t="shared" si="9"/>
        <v>4</v>
      </c>
    </row>
    <row r="614" spans="1:9" x14ac:dyDescent="0.35">
      <c r="A614" t="str">
        <f>"641501"</f>
        <v>641501</v>
      </c>
      <c r="B614" t="s">
        <v>2004</v>
      </c>
      <c r="C614" s="46">
        <v>41</v>
      </c>
      <c r="D614" s="46">
        <v>0</v>
      </c>
      <c r="E614" s="46">
        <v>0</v>
      </c>
      <c r="F614" s="46">
        <v>0</v>
      </c>
      <c r="G614" s="46">
        <v>0</v>
      </c>
      <c r="H614" s="46">
        <v>0</v>
      </c>
      <c r="I614" s="46">
        <f t="shared" si="9"/>
        <v>34</v>
      </c>
    </row>
    <row r="615" spans="1:9" x14ac:dyDescent="0.35">
      <c r="A615" t="str">
        <f>"641610"</f>
        <v>641610</v>
      </c>
      <c r="B615" t="s">
        <v>2005</v>
      </c>
      <c r="C615" s="46">
        <v>59</v>
      </c>
      <c r="D615" s="46">
        <v>0</v>
      </c>
      <c r="E615" s="46">
        <v>0</v>
      </c>
      <c r="F615" s="46">
        <v>0</v>
      </c>
      <c r="G615" s="46">
        <v>0</v>
      </c>
      <c r="H615" s="46">
        <v>0</v>
      </c>
      <c r="I615" s="46">
        <f t="shared" si="9"/>
        <v>50</v>
      </c>
    </row>
    <row r="616" spans="1:9" x14ac:dyDescent="0.35">
      <c r="A616" t="str">
        <f>"641701"</f>
        <v>641701</v>
      </c>
      <c r="B616" t="s">
        <v>2006</v>
      </c>
      <c r="C616" s="46">
        <v>37</v>
      </c>
      <c r="D616" s="46">
        <v>0</v>
      </c>
      <c r="E616" s="46">
        <v>0</v>
      </c>
      <c r="F616" s="46">
        <v>0</v>
      </c>
      <c r="G616" s="46">
        <v>0</v>
      </c>
      <c r="H616" s="46">
        <v>0</v>
      </c>
      <c r="I616" s="46">
        <f t="shared" si="9"/>
        <v>31</v>
      </c>
    </row>
    <row r="617" spans="1:9" x14ac:dyDescent="0.35">
      <c r="A617" t="str">
        <f>"650101"</f>
        <v>650101</v>
      </c>
      <c r="B617" t="s">
        <v>2007</v>
      </c>
      <c r="C617" s="46">
        <v>132</v>
      </c>
      <c r="D617" s="46">
        <v>0</v>
      </c>
      <c r="E617" s="46">
        <v>0</v>
      </c>
      <c r="F617" s="46">
        <v>0</v>
      </c>
      <c r="G617" s="46">
        <v>13</v>
      </c>
      <c r="H617" s="46">
        <v>12</v>
      </c>
      <c r="I617" s="46">
        <f t="shared" si="9"/>
        <v>113</v>
      </c>
    </row>
    <row r="618" spans="1:9" x14ac:dyDescent="0.35">
      <c r="A618" t="str">
        <f>"650301"</f>
        <v>650301</v>
      </c>
      <c r="B618" t="s">
        <v>1245</v>
      </c>
      <c r="C618" s="46">
        <v>58</v>
      </c>
      <c r="D618" s="46">
        <v>0</v>
      </c>
      <c r="E618" s="46">
        <v>0</v>
      </c>
      <c r="F618" s="46">
        <v>0</v>
      </c>
      <c r="G618" s="46">
        <v>0</v>
      </c>
      <c r="H618" s="46">
        <v>0</v>
      </c>
      <c r="I618" s="46">
        <f t="shared" si="9"/>
        <v>49</v>
      </c>
    </row>
    <row r="619" spans="1:9" x14ac:dyDescent="0.35">
      <c r="A619" t="str">
        <f>"650501"</f>
        <v>650501</v>
      </c>
      <c r="B619" t="s">
        <v>2008</v>
      </c>
      <c r="C619" s="46">
        <v>69</v>
      </c>
      <c r="D619" s="46">
        <v>0</v>
      </c>
      <c r="E619" s="46">
        <v>0</v>
      </c>
      <c r="F619" s="46">
        <v>0</v>
      </c>
      <c r="G619" s="46">
        <v>0</v>
      </c>
      <c r="H619" s="46">
        <v>0</v>
      </c>
      <c r="I619" s="46">
        <f t="shared" si="9"/>
        <v>58</v>
      </c>
    </row>
    <row r="620" spans="1:9" x14ac:dyDescent="0.35">
      <c r="A620" t="str">
        <f>"650701"</f>
        <v>650701</v>
      </c>
      <c r="B620" t="s">
        <v>2009</v>
      </c>
      <c r="C620" s="46">
        <v>57</v>
      </c>
      <c r="D620" s="46">
        <v>0</v>
      </c>
      <c r="E620" s="46">
        <v>0</v>
      </c>
      <c r="F620" s="46">
        <v>0</v>
      </c>
      <c r="G620" s="46">
        <v>0</v>
      </c>
      <c r="H620" s="46">
        <v>5</v>
      </c>
      <c r="I620" s="46">
        <f t="shared" si="9"/>
        <v>44</v>
      </c>
    </row>
    <row r="621" spans="1:9" x14ac:dyDescent="0.35">
      <c r="A621" t="str">
        <f>"650801"</f>
        <v>650801</v>
      </c>
      <c r="B621" t="s">
        <v>2010</v>
      </c>
      <c r="C621" s="46">
        <v>148</v>
      </c>
      <c r="D621" s="46">
        <v>0</v>
      </c>
      <c r="E621" s="46">
        <v>0</v>
      </c>
      <c r="F621" s="46">
        <v>0</v>
      </c>
      <c r="G621" s="46">
        <v>0</v>
      </c>
      <c r="H621" s="46">
        <v>4</v>
      </c>
      <c r="I621" s="46">
        <f t="shared" si="9"/>
        <v>122</v>
      </c>
    </row>
    <row r="622" spans="1:9" x14ac:dyDescent="0.35">
      <c r="A622" t="str">
        <f>"650901"</f>
        <v>650901</v>
      </c>
      <c r="B622" t="s">
        <v>1253</v>
      </c>
      <c r="C622" s="46">
        <v>115</v>
      </c>
      <c r="D622" s="46">
        <v>0</v>
      </c>
      <c r="E622" s="46">
        <v>0</v>
      </c>
      <c r="F622" s="46">
        <v>0</v>
      </c>
      <c r="G622" s="46">
        <v>0</v>
      </c>
      <c r="H622" s="46">
        <v>0</v>
      </c>
      <c r="I622" s="46">
        <f t="shared" si="9"/>
        <v>97</v>
      </c>
    </row>
    <row r="623" spans="1:9" x14ac:dyDescent="0.35">
      <c r="A623" t="str">
        <f>"650902"</f>
        <v>650902</v>
      </c>
      <c r="B623" t="s">
        <v>2011</v>
      </c>
      <c r="C623" s="46">
        <v>53</v>
      </c>
      <c r="D623" s="46">
        <v>0</v>
      </c>
      <c r="E623" s="46">
        <v>0</v>
      </c>
      <c r="F623" s="46">
        <v>0</v>
      </c>
      <c r="G623" s="46">
        <v>0</v>
      </c>
      <c r="H623" s="46">
        <v>0</v>
      </c>
      <c r="I623" s="46">
        <f t="shared" si="9"/>
        <v>45</v>
      </c>
    </row>
    <row r="624" spans="1:9" x14ac:dyDescent="0.35">
      <c r="A624" t="str">
        <f>"651201"</f>
        <v>651201</v>
      </c>
      <c r="B624" t="s">
        <v>2012</v>
      </c>
      <c r="C624" s="46">
        <v>89</v>
      </c>
      <c r="D624" s="46">
        <v>0</v>
      </c>
      <c r="E624" s="46">
        <v>0</v>
      </c>
      <c r="F624" s="46">
        <v>0</v>
      </c>
      <c r="G624" s="46">
        <v>0</v>
      </c>
      <c r="H624" s="46">
        <v>10</v>
      </c>
      <c r="I624" s="46">
        <f t="shared" si="9"/>
        <v>67</v>
      </c>
    </row>
    <row r="625" spans="1:9" x14ac:dyDescent="0.35">
      <c r="A625" t="str">
        <f>"651402"</f>
        <v>651402</v>
      </c>
      <c r="B625" t="s">
        <v>1513</v>
      </c>
      <c r="C625" s="46">
        <v>73</v>
      </c>
      <c r="D625" s="46">
        <v>0</v>
      </c>
      <c r="E625" s="46">
        <v>0</v>
      </c>
      <c r="F625" s="46">
        <v>0</v>
      </c>
      <c r="G625" s="46">
        <v>0</v>
      </c>
      <c r="H625" s="46">
        <v>1</v>
      </c>
      <c r="I625" s="46">
        <f t="shared" si="9"/>
        <v>61</v>
      </c>
    </row>
    <row r="626" spans="1:9" x14ac:dyDescent="0.35">
      <c r="A626" t="str">
        <f>"651501"</f>
        <v>651501</v>
      </c>
      <c r="B626" t="s">
        <v>2013</v>
      </c>
      <c r="C626" s="46">
        <v>82</v>
      </c>
      <c r="D626" s="46">
        <v>0</v>
      </c>
      <c r="E626" s="46">
        <v>0</v>
      </c>
      <c r="F626" s="46">
        <v>0</v>
      </c>
      <c r="G626" s="46">
        <v>0</v>
      </c>
      <c r="H626" s="46">
        <v>0</v>
      </c>
      <c r="I626" s="46">
        <f t="shared" si="9"/>
        <v>69</v>
      </c>
    </row>
    <row r="627" spans="1:9" x14ac:dyDescent="0.35">
      <c r="A627" t="str">
        <f>"651503"</f>
        <v>651503</v>
      </c>
      <c r="B627" t="s">
        <v>2014</v>
      </c>
      <c r="C627" s="46">
        <v>54</v>
      </c>
      <c r="D627" s="46">
        <v>0</v>
      </c>
      <c r="E627" s="46">
        <v>0</v>
      </c>
      <c r="F627" s="46">
        <v>0</v>
      </c>
      <c r="G627" s="46">
        <v>0</v>
      </c>
      <c r="H627" s="46">
        <v>0</v>
      </c>
      <c r="I627" s="46">
        <f t="shared" si="9"/>
        <v>45</v>
      </c>
    </row>
    <row r="628" spans="1:9" x14ac:dyDescent="0.35">
      <c r="A628" t="str">
        <f>"660101"</f>
        <v>660101</v>
      </c>
      <c r="B628" t="s">
        <v>2015</v>
      </c>
      <c r="C628" s="46">
        <v>206</v>
      </c>
      <c r="D628" s="46">
        <v>0</v>
      </c>
      <c r="E628" s="46">
        <v>0</v>
      </c>
      <c r="F628" s="46">
        <v>0</v>
      </c>
      <c r="G628" s="46">
        <v>0</v>
      </c>
      <c r="H628" s="46">
        <v>19</v>
      </c>
      <c r="I628" s="46">
        <f t="shared" si="9"/>
        <v>158</v>
      </c>
    </row>
    <row r="629" spans="1:9" x14ac:dyDescent="0.35">
      <c r="A629" t="str">
        <f>"660102"</f>
        <v>660102</v>
      </c>
      <c r="B629" t="s">
        <v>2016</v>
      </c>
      <c r="C629" s="46">
        <v>242</v>
      </c>
      <c r="D629" s="46">
        <v>0</v>
      </c>
      <c r="E629" s="46">
        <v>0</v>
      </c>
      <c r="F629" s="46">
        <v>0</v>
      </c>
      <c r="G629" s="46">
        <v>31</v>
      </c>
      <c r="H629" s="46">
        <v>22</v>
      </c>
      <c r="I629" s="46">
        <f t="shared" si="9"/>
        <v>213</v>
      </c>
    </row>
    <row r="630" spans="1:9" x14ac:dyDescent="0.35">
      <c r="A630" t="str">
        <f>"660202"</f>
        <v>660202</v>
      </c>
      <c r="B630" t="s">
        <v>2017</v>
      </c>
      <c r="C630" s="46">
        <v>123</v>
      </c>
      <c r="D630" s="46">
        <v>0</v>
      </c>
      <c r="E630" s="46">
        <v>0</v>
      </c>
      <c r="F630" s="46">
        <v>0</v>
      </c>
      <c r="G630" s="46">
        <v>0</v>
      </c>
      <c r="H630" s="46">
        <v>0</v>
      </c>
      <c r="I630" s="46">
        <f t="shared" si="9"/>
        <v>104</v>
      </c>
    </row>
    <row r="631" spans="1:9" x14ac:dyDescent="0.35">
      <c r="A631" t="str">
        <f>"660203"</f>
        <v>660203</v>
      </c>
      <c r="B631" t="s">
        <v>1271</v>
      </c>
      <c r="C631" s="46">
        <v>150</v>
      </c>
      <c r="D631" s="46">
        <v>0</v>
      </c>
      <c r="E631" s="46">
        <v>0</v>
      </c>
      <c r="F631" s="46">
        <v>0</v>
      </c>
      <c r="G631" s="46">
        <v>0</v>
      </c>
      <c r="H631" s="46">
        <v>7</v>
      </c>
      <c r="I631" s="46">
        <f t="shared" si="9"/>
        <v>121</v>
      </c>
    </row>
    <row r="632" spans="1:9" x14ac:dyDescent="0.35">
      <c r="A632" t="str">
        <f>"660301"</f>
        <v>660301</v>
      </c>
      <c r="B632" t="s">
        <v>2018</v>
      </c>
      <c r="C632" s="46">
        <v>181</v>
      </c>
      <c r="D632" s="46">
        <v>0</v>
      </c>
      <c r="E632" s="46">
        <v>0</v>
      </c>
      <c r="F632" s="46">
        <v>0</v>
      </c>
      <c r="G632" s="46">
        <v>21</v>
      </c>
      <c r="H632" s="46">
        <v>0</v>
      </c>
      <c r="I632" s="46">
        <f t="shared" si="9"/>
        <v>171</v>
      </c>
    </row>
    <row r="633" spans="1:9" x14ac:dyDescent="0.35">
      <c r="A633" t="str">
        <f>"660302"</f>
        <v>660302</v>
      </c>
      <c r="B633" t="s">
        <v>2019</v>
      </c>
      <c r="C633" s="46">
        <v>82</v>
      </c>
      <c r="D633" s="46">
        <v>0</v>
      </c>
      <c r="E633" s="46">
        <v>0</v>
      </c>
      <c r="F633" s="46">
        <v>0</v>
      </c>
      <c r="G633" s="46">
        <v>0</v>
      </c>
      <c r="H633" s="46">
        <v>12</v>
      </c>
      <c r="I633" s="46">
        <f t="shared" si="9"/>
        <v>59</v>
      </c>
    </row>
    <row r="634" spans="1:9" x14ac:dyDescent="0.35">
      <c r="A634" t="str">
        <f>"660303"</f>
        <v>660303</v>
      </c>
      <c r="B634" t="s">
        <v>2020</v>
      </c>
      <c r="C634" s="46">
        <v>109</v>
      </c>
      <c r="D634" s="46">
        <v>0</v>
      </c>
      <c r="E634" s="46">
        <v>0</v>
      </c>
      <c r="F634" s="46">
        <v>0</v>
      </c>
      <c r="G634" s="46">
        <v>60</v>
      </c>
      <c r="H634" s="46">
        <v>0</v>
      </c>
      <c r="I634" s="46">
        <f t="shared" si="9"/>
        <v>143</v>
      </c>
    </row>
    <row r="635" spans="1:9" x14ac:dyDescent="0.35">
      <c r="A635" t="str">
        <f>"660401"</f>
        <v>660401</v>
      </c>
      <c r="B635" t="s">
        <v>2021</v>
      </c>
      <c r="C635" s="46">
        <v>195</v>
      </c>
      <c r="D635" s="46">
        <v>0</v>
      </c>
      <c r="E635" s="46">
        <v>0</v>
      </c>
      <c r="F635" s="46">
        <v>0</v>
      </c>
      <c r="G635" s="46">
        <v>47</v>
      </c>
      <c r="H635" s="46">
        <v>8</v>
      </c>
      <c r="I635" s="46">
        <f t="shared" si="9"/>
        <v>198</v>
      </c>
    </row>
    <row r="636" spans="1:9" x14ac:dyDescent="0.35">
      <c r="A636" t="str">
        <f>"660402"</f>
        <v>660402</v>
      </c>
      <c r="B636" t="s">
        <v>1530</v>
      </c>
      <c r="C636" s="46">
        <v>130</v>
      </c>
      <c r="D636" s="46">
        <v>0</v>
      </c>
      <c r="E636" s="46">
        <v>0</v>
      </c>
      <c r="F636" s="46">
        <v>0</v>
      </c>
      <c r="G636" s="46">
        <v>0</v>
      </c>
      <c r="H636" s="46">
        <v>0</v>
      </c>
      <c r="I636" s="46">
        <f t="shared" si="9"/>
        <v>110</v>
      </c>
    </row>
    <row r="637" spans="1:9" x14ac:dyDescent="0.35">
      <c r="A637" t="str">
        <f>"660403"</f>
        <v>660403</v>
      </c>
      <c r="B637" t="s">
        <v>2022</v>
      </c>
      <c r="C637" s="46">
        <v>97</v>
      </c>
      <c r="D637" s="46">
        <v>0</v>
      </c>
      <c r="E637" s="46">
        <v>0</v>
      </c>
      <c r="F637" s="46">
        <v>0</v>
      </c>
      <c r="G637" s="46">
        <v>0</v>
      </c>
      <c r="H637" s="46">
        <v>0</v>
      </c>
      <c r="I637" s="46">
        <f t="shared" si="9"/>
        <v>82</v>
      </c>
    </row>
    <row r="638" spans="1:9" x14ac:dyDescent="0.35">
      <c r="A638" t="str">
        <f>"660404"</f>
        <v>660404</v>
      </c>
      <c r="B638" t="s">
        <v>2023</v>
      </c>
      <c r="C638" s="46">
        <v>105</v>
      </c>
      <c r="D638" s="46">
        <v>0</v>
      </c>
      <c r="E638" s="46">
        <v>0</v>
      </c>
      <c r="F638" s="46">
        <v>0</v>
      </c>
      <c r="G638" s="46">
        <v>6</v>
      </c>
      <c r="H638" s="46">
        <v>0</v>
      </c>
      <c r="I638" s="46">
        <f t="shared" si="9"/>
        <v>94</v>
      </c>
    </row>
    <row r="639" spans="1:9" x14ac:dyDescent="0.35">
      <c r="A639" t="str">
        <f>"660405"</f>
        <v>660405</v>
      </c>
      <c r="B639" t="s">
        <v>2024</v>
      </c>
      <c r="C639" s="46">
        <v>137</v>
      </c>
      <c r="D639" s="46">
        <v>0</v>
      </c>
      <c r="E639" s="46">
        <v>0</v>
      </c>
      <c r="F639" s="46">
        <v>0</v>
      </c>
      <c r="G639" s="46">
        <v>0</v>
      </c>
      <c r="H639" s="46">
        <v>11</v>
      </c>
      <c r="I639" s="46">
        <f t="shared" si="9"/>
        <v>107</v>
      </c>
    </row>
    <row r="640" spans="1:9" x14ac:dyDescent="0.35">
      <c r="A640" t="str">
        <f>"660406"</f>
        <v>660406</v>
      </c>
      <c r="B640" t="s">
        <v>2025</v>
      </c>
      <c r="C640" s="46">
        <v>104</v>
      </c>
      <c r="D640" s="46">
        <v>0</v>
      </c>
      <c r="E640" s="46">
        <v>0</v>
      </c>
      <c r="F640" s="46">
        <v>0</v>
      </c>
      <c r="G640" s="46">
        <v>0</v>
      </c>
      <c r="H640" s="46">
        <v>0</v>
      </c>
      <c r="I640" s="46">
        <f t="shared" si="9"/>
        <v>88</v>
      </c>
    </row>
    <row r="641" spans="1:9" x14ac:dyDescent="0.35">
      <c r="A641" t="str">
        <f>"660407"</f>
        <v>660407</v>
      </c>
      <c r="B641" t="s">
        <v>1512</v>
      </c>
      <c r="C641" s="46">
        <v>128</v>
      </c>
      <c r="D641" s="46">
        <v>0</v>
      </c>
      <c r="E641" s="46">
        <v>1</v>
      </c>
      <c r="F641" s="46">
        <v>0</v>
      </c>
      <c r="G641" s="46">
        <v>33</v>
      </c>
      <c r="H641" s="46">
        <v>36</v>
      </c>
      <c r="I641" s="46">
        <f t="shared" si="9"/>
        <v>107</v>
      </c>
    </row>
    <row r="642" spans="1:9" x14ac:dyDescent="0.35">
      <c r="A642" t="str">
        <f>"660409"</f>
        <v>660409</v>
      </c>
      <c r="B642" t="s">
        <v>2026</v>
      </c>
      <c r="C642" s="46">
        <v>65</v>
      </c>
      <c r="D642" s="46">
        <v>0</v>
      </c>
      <c r="E642" s="46">
        <v>1</v>
      </c>
      <c r="F642" s="46">
        <v>0</v>
      </c>
      <c r="G642" s="46">
        <v>8</v>
      </c>
      <c r="H642" s="46">
        <v>5</v>
      </c>
      <c r="I642" s="46">
        <f t="shared" ref="I642:I674" si="10">MAX(TRUNC((C642+D642+E642+F642+G642-H642)*0.85,0),0)</f>
        <v>58</v>
      </c>
    </row>
    <row r="643" spans="1:9" x14ac:dyDescent="0.35">
      <c r="A643" t="str">
        <f>"660501"</f>
        <v>660501</v>
      </c>
      <c r="B643" t="s">
        <v>2027</v>
      </c>
      <c r="C643" s="46">
        <v>252</v>
      </c>
      <c r="D643" s="46">
        <v>0</v>
      </c>
      <c r="E643" s="46">
        <v>0</v>
      </c>
      <c r="F643" s="46">
        <v>0</v>
      </c>
      <c r="G643" s="46">
        <v>0</v>
      </c>
      <c r="H643" s="46">
        <v>17</v>
      </c>
      <c r="I643" s="46">
        <f t="shared" si="10"/>
        <v>199</v>
      </c>
    </row>
    <row r="644" spans="1:9" x14ac:dyDescent="0.35">
      <c r="A644" t="str">
        <f>"660701"</f>
        <v>660701</v>
      </c>
      <c r="B644" t="s">
        <v>2028</v>
      </c>
      <c r="C644" s="46">
        <v>393</v>
      </c>
      <c r="D644" s="46">
        <v>0</v>
      </c>
      <c r="E644" s="46">
        <v>0</v>
      </c>
      <c r="F644" s="46">
        <v>0</v>
      </c>
      <c r="G644" s="46">
        <v>118</v>
      </c>
      <c r="H644" s="46">
        <v>0</v>
      </c>
      <c r="I644" s="46">
        <f t="shared" si="10"/>
        <v>434</v>
      </c>
    </row>
    <row r="645" spans="1:9" x14ac:dyDescent="0.35">
      <c r="A645" t="str">
        <f>"660801"</f>
        <v>660801</v>
      </c>
      <c r="B645" t="s">
        <v>2029</v>
      </c>
      <c r="C645" s="46">
        <v>148</v>
      </c>
      <c r="D645" s="46">
        <v>0</v>
      </c>
      <c r="E645" s="46">
        <v>0</v>
      </c>
      <c r="F645" s="46">
        <v>0</v>
      </c>
      <c r="G645" s="46">
        <v>0</v>
      </c>
      <c r="H645" s="46">
        <v>0</v>
      </c>
      <c r="I645" s="46">
        <f t="shared" si="10"/>
        <v>125</v>
      </c>
    </row>
    <row r="646" spans="1:9" x14ac:dyDescent="0.35">
      <c r="A646" t="str">
        <f>"660802"</f>
        <v>660802</v>
      </c>
      <c r="B646" t="s">
        <v>1301</v>
      </c>
      <c r="C646" s="46">
        <v>25</v>
      </c>
      <c r="D646" s="46">
        <v>0</v>
      </c>
      <c r="E646" s="46">
        <v>0</v>
      </c>
      <c r="F646" s="46">
        <v>0</v>
      </c>
      <c r="G646" s="46">
        <v>0</v>
      </c>
      <c r="H646" s="46">
        <v>0</v>
      </c>
      <c r="I646" s="46">
        <f t="shared" si="10"/>
        <v>21</v>
      </c>
    </row>
    <row r="647" spans="1:9" x14ac:dyDescent="0.35">
      <c r="A647" t="str">
        <f>"660805"</f>
        <v>660805</v>
      </c>
      <c r="B647" t="s">
        <v>2030</v>
      </c>
      <c r="C647" s="46">
        <v>92</v>
      </c>
      <c r="D647" s="46">
        <v>0</v>
      </c>
      <c r="E647" s="46">
        <v>0</v>
      </c>
      <c r="F647" s="46">
        <v>0</v>
      </c>
      <c r="G647" s="46">
        <v>0</v>
      </c>
      <c r="H647" s="46">
        <v>0</v>
      </c>
      <c r="I647" s="46">
        <f t="shared" si="10"/>
        <v>78</v>
      </c>
    </row>
    <row r="648" spans="1:9" x14ac:dyDescent="0.35">
      <c r="A648" t="str">
        <f>"660809"</f>
        <v>660809</v>
      </c>
      <c r="B648" t="s">
        <v>1305</v>
      </c>
      <c r="C648" s="46">
        <v>103</v>
      </c>
      <c r="D648" s="46">
        <v>0</v>
      </c>
      <c r="E648" s="46">
        <v>0</v>
      </c>
      <c r="F648" s="46">
        <v>0</v>
      </c>
      <c r="G648" s="46">
        <v>0</v>
      </c>
      <c r="H648" s="46">
        <v>0</v>
      </c>
      <c r="I648" s="46">
        <f t="shared" si="10"/>
        <v>87</v>
      </c>
    </row>
    <row r="649" spans="1:9" x14ac:dyDescent="0.35">
      <c r="A649" t="str">
        <f>"660900"</f>
        <v>660900</v>
      </c>
      <c r="B649" t="s">
        <v>2031</v>
      </c>
      <c r="C649" s="46">
        <v>473</v>
      </c>
      <c r="D649" s="46">
        <v>0</v>
      </c>
      <c r="E649" s="46">
        <v>10</v>
      </c>
      <c r="F649" s="46">
        <v>0</v>
      </c>
      <c r="G649" s="46">
        <v>123</v>
      </c>
      <c r="H649" s="46">
        <v>0</v>
      </c>
      <c r="I649" s="46">
        <f t="shared" si="10"/>
        <v>515</v>
      </c>
    </row>
    <row r="650" spans="1:9" x14ac:dyDescent="0.35">
      <c r="A650" t="str">
        <f>"661004"</f>
        <v>661004</v>
      </c>
      <c r="B650" t="s">
        <v>2032</v>
      </c>
      <c r="C650" s="46">
        <v>233</v>
      </c>
      <c r="D650" s="46">
        <v>0</v>
      </c>
      <c r="E650" s="46">
        <v>0</v>
      </c>
      <c r="F650" s="46">
        <v>0</v>
      </c>
      <c r="G650" s="46">
        <v>0</v>
      </c>
      <c r="H650" s="46">
        <v>8</v>
      </c>
      <c r="I650" s="46">
        <f t="shared" si="10"/>
        <v>191</v>
      </c>
    </row>
    <row r="651" spans="1:9" x14ac:dyDescent="0.35">
      <c r="A651" t="str">
        <f>"661100"</f>
        <v>661100</v>
      </c>
      <c r="B651" t="s">
        <v>2033</v>
      </c>
      <c r="C651" s="46">
        <v>719</v>
      </c>
      <c r="D651" s="46">
        <v>0</v>
      </c>
      <c r="E651" s="46">
        <v>0</v>
      </c>
      <c r="F651" s="46">
        <v>0</v>
      </c>
      <c r="G651" s="46">
        <v>85</v>
      </c>
      <c r="H651" s="46">
        <v>53</v>
      </c>
      <c r="I651" s="46">
        <f t="shared" si="10"/>
        <v>638</v>
      </c>
    </row>
    <row r="652" spans="1:9" x14ac:dyDescent="0.35">
      <c r="A652" t="str">
        <f>"661201"</f>
        <v>661201</v>
      </c>
      <c r="B652" t="s">
        <v>2034</v>
      </c>
      <c r="C652" s="46">
        <v>198</v>
      </c>
      <c r="D652" s="46">
        <v>0</v>
      </c>
      <c r="E652" s="46">
        <v>0</v>
      </c>
      <c r="F652" s="46">
        <v>0</v>
      </c>
      <c r="G652" s="46">
        <v>0</v>
      </c>
      <c r="H652" s="46">
        <v>0</v>
      </c>
      <c r="I652" s="46">
        <f t="shared" si="10"/>
        <v>168</v>
      </c>
    </row>
    <row r="653" spans="1:9" x14ac:dyDescent="0.35">
      <c r="A653" t="str">
        <f>"661301"</f>
        <v>661301</v>
      </c>
      <c r="B653" t="s">
        <v>2035</v>
      </c>
      <c r="C653" s="46">
        <v>70</v>
      </c>
      <c r="D653" s="46">
        <v>0</v>
      </c>
      <c r="E653" s="46">
        <v>0</v>
      </c>
      <c r="F653" s="46">
        <v>0</v>
      </c>
      <c r="G653" s="46">
        <v>0</v>
      </c>
      <c r="H653" s="46">
        <v>0</v>
      </c>
      <c r="I653" s="46">
        <f t="shared" si="10"/>
        <v>59</v>
      </c>
    </row>
    <row r="654" spans="1:9" x14ac:dyDescent="0.35">
      <c r="A654" t="str">
        <f>"661401"</f>
        <v>661401</v>
      </c>
      <c r="B654" t="s">
        <v>2036</v>
      </c>
      <c r="C654" s="46">
        <v>313</v>
      </c>
      <c r="D654" s="46">
        <v>0</v>
      </c>
      <c r="E654" s="46">
        <v>0</v>
      </c>
      <c r="F654" s="46">
        <v>0</v>
      </c>
      <c r="G654" s="46">
        <v>30</v>
      </c>
      <c r="H654" s="46">
        <v>73</v>
      </c>
      <c r="I654" s="46">
        <f t="shared" si="10"/>
        <v>229</v>
      </c>
    </row>
    <row r="655" spans="1:9" x14ac:dyDescent="0.35">
      <c r="A655" t="str">
        <f>"661402"</f>
        <v>661402</v>
      </c>
      <c r="B655" t="s">
        <v>1319</v>
      </c>
      <c r="C655" s="46">
        <v>98</v>
      </c>
      <c r="D655" s="46">
        <v>0</v>
      </c>
      <c r="E655" s="46">
        <v>0</v>
      </c>
      <c r="F655" s="46">
        <v>0</v>
      </c>
      <c r="G655" s="46">
        <v>0</v>
      </c>
      <c r="H655" s="46">
        <v>0</v>
      </c>
      <c r="I655" s="46">
        <f t="shared" si="10"/>
        <v>83</v>
      </c>
    </row>
    <row r="656" spans="1:9" x14ac:dyDescent="0.35">
      <c r="A656" t="str">
        <f>"661500"</f>
        <v>661500</v>
      </c>
      <c r="B656" t="s">
        <v>2037</v>
      </c>
      <c r="C656" s="46">
        <v>280</v>
      </c>
      <c r="D656" s="46">
        <v>0</v>
      </c>
      <c r="E656" s="46">
        <v>0</v>
      </c>
      <c r="F656" s="46">
        <v>0</v>
      </c>
      <c r="G656" s="46">
        <v>0</v>
      </c>
      <c r="H656" s="46">
        <v>39</v>
      </c>
      <c r="I656" s="46">
        <f t="shared" si="10"/>
        <v>204</v>
      </c>
    </row>
    <row r="657" spans="1:9" x14ac:dyDescent="0.35">
      <c r="A657" t="str">
        <f>"661601"</f>
        <v>661601</v>
      </c>
      <c r="B657" t="s">
        <v>2038</v>
      </c>
      <c r="C657" s="46">
        <v>195</v>
      </c>
      <c r="D657" s="46">
        <v>0</v>
      </c>
      <c r="E657" s="46">
        <v>0</v>
      </c>
      <c r="F657" s="46">
        <v>0</v>
      </c>
      <c r="G657" s="46">
        <v>0</v>
      </c>
      <c r="H657" s="46">
        <v>19</v>
      </c>
      <c r="I657" s="46">
        <f t="shared" si="10"/>
        <v>149</v>
      </c>
    </row>
    <row r="658" spans="1:9" x14ac:dyDescent="0.35">
      <c r="A658" t="str">
        <f>"661800"</f>
        <v>661800</v>
      </c>
      <c r="B658" t="s">
        <v>2039</v>
      </c>
      <c r="C658" s="46">
        <v>209</v>
      </c>
      <c r="D658" s="46">
        <v>0</v>
      </c>
      <c r="E658" s="46">
        <v>0</v>
      </c>
      <c r="F658" s="46">
        <v>0</v>
      </c>
      <c r="G658" s="46">
        <v>89</v>
      </c>
      <c r="H658" s="46">
        <v>0</v>
      </c>
      <c r="I658" s="46">
        <f t="shared" si="10"/>
        <v>253</v>
      </c>
    </row>
    <row r="659" spans="1:9" x14ac:dyDescent="0.35">
      <c r="A659" t="str">
        <f>"661901"</f>
        <v>661901</v>
      </c>
      <c r="B659" t="s">
        <v>2040</v>
      </c>
      <c r="C659" s="46">
        <v>107</v>
      </c>
      <c r="D659" s="46">
        <v>0</v>
      </c>
      <c r="E659" s="46">
        <v>0</v>
      </c>
      <c r="F659" s="46">
        <v>0</v>
      </c>
      <c r="G659" s="46">
        <v>0</v>
      </c>
      <c r="H659" s="46">
        <v>1</v>
      </c>
      <c r="I659" s="46">
        <f t="shared" si="10"/>
        <v>90</v>
      </c>
    </row>
    <row r="660" spans="1:9" x14ac:dyDescent="0.35">
      <c r="A660" t="str">
        <f>"661904"</f>
        <v>661904</v>
      </c>
      <c r="B660" t="s">
        <v>2041</v>
      </c>
      <c r="C660" s="46">
        <v>315</v>
      </c>
      <c r="D660" s="46">
        <v>0</v>
      </c>
      <c r="E660" s="46">
        <v>0</v>
      </c>
      <c r="F660" s="46">
        <v>0</v>
      </c>
      <c r="G660" s="46">
        <v>17</v>
      </c>
      <c r="H660" s="46">
        <v>0</v>
      </c>
      <c r="I660" s="46">
        <f t="shared" si="10"/>
        <v>282</v>
      </c>
    </row>
    <row r="661" spans="1:9" x14ac:dyDescent="0.35">
      <c r="A661" t="str">
        <f>"661905"</f>
        <v>661905</v>
      </c>
      <c r="B661" t="s">
        <v>1331</v>
      </c>
      <c r="C661" s="46">
        <v>107</v>
      </c>
      <c r="D661" s="46">
        <v>0</v>
      </c>
      <c r="E661" s="46">
        <v>0</v>
      </c>
      <c r="F661" s="46">
        <v>0</v>
      </c>
      <c r="G661" s="46">
        <v>0</v>
      </c>
      <c r="H661" s="46">
        <v>2</v>
      </c>
      <c r="I661" s="46">
        <f t="shared" si="10"/>
        <v>89</v>
      </c>
    </row>
    <row r="662" spans="1:9" x14ac:dyDescent="0.35">
      <c r="A662" t="str">
        <f>"662001"</f>
        <v>662001</v>
      </c>
      <c r="B662" t="s">
        <v>1539</v>
      </c>
      <c r="C662" s="46">
        <v>366</v>
      </c>
      <c r="D662" s="46">
        <v>0</v>
      </c>
      <c r="E662" s="46">
        <v>0</v>
      </c>
      <c r="F662" s="46">
        <v>0</v>
      </c>
      <c r="G662" s="46">
        <v>24</v>
      </c>
      <c r="H662" s="46">
        <v>0</v>
      </c>
      <c r="I662" s="46">
        <f t="shared" si="10"/>
        <v>331</v>
      </c>
    </row>
    <row r="663" spans="1:9" x14ac:dyDescent="0.35">
      <c r="A663" t="str">
        <f>"662101"</f>
        <v>662101</v>
      </c>
      <c r="B663" t="s">
        <v>2042</v>
      </c>
      <c r="C663" s="46">
        <v>164</v>
      </c>
      <c r="D663" s="46">
        <v>0</v>
      </c>
      <c r="E663" s="46">
        <v>0</v>
      </c>
      <c r="F663" s="46">
        <v>0</v>
      </c>
      <c r="G663" s="46">
        <v>0</v>
      </c>
      <c r="H663" s="46">
        <v>11</v>
      </c>
      <c r="I663" s="46">
        <f t="shared" si="10"/>
        <v>130</v>
      </c>
    </row>
    <row r="664" spans="1:9" x14ac:dyDescent="0.35">
      <c r="A664" t="str">
        <f>"662200"</f>
        <v>662200</v>
      </c>
      <c r="B664" t="s">
        <v>2043</v>
      </c>
      <c r="C664" s="46">
        <v>478</v>
      </c>
      <c r="D664" s="46">
        <v>0</v>
      </c>
      <c r="E664" s="46">
        <v>0</v>
      </c>
      <c r="F664" s="46">
        <v>0</v>
      </c>
      <c r="G664" s="46">
        <v>130</v>
      </c>
      <c r="H664" s="46">
        <v>47</v>
      </c>
      <c r="I664" s="46">
        <f t="shared" si="10"/>
        <v>476</v>
      </c>
    </row>
    <row r="665" spans="1:9" x14ac:dyDescent="0.35">
      <c r="A665" t="str">
        <f>"662300"</f>
        <v>662300</v>
      </c>
      <c r="B665" t="s">
        <v>2044</v>
      </c>
      <c r="C665" s="46">
        <v>1612</v>
      </c>
      <c r="D665" s="46">
        <v>0</v>
      </c>
      <c r="E665" s="46">
        <v>70</v>
      </c>
      <c r="F665" s="46">
        <v>0</v>
      </c>
      <c r="G665" s="46">
        <v>191</v>
      </c>
      <c r="H665" s="46">
        <v>400</v>
      </c>
      <c r="I665" s="46">
        <f t="shared" si="10"/>
        <v>1252</v>
      </c>
    </row>
    <row r="666" spans="1:9" x14ac:dyDescent="0.35">
      <c r="A666" t="str">
        <f>"662401"</f>
        <v>662401</v>
      </c>
      <c r="B666" t="s">
        <v>2045</v>
      </c>
      <c r="C666" s="46">
        <v>345</v>
      </c>
      <c r="D666" s="46">
        <v>0</v>
      </c>
      <c r="E666" s="46">
        <v>0</v>
      </c>
      <c r="F666" s="46">
        <v>0</v>
      </c>
      <c r="G666" s="46">
        <v>22</v>
      </c>
      <c r="H666" s="46">
        <v>0</v>
      </c>
      <c r="I666" s="46">
        <f t="shared" si="10"/>
        <v>311</v>
      </c>
    </row>
    <row r="667" spans="1:9" x14ac:dyDescent="0.35">
      <c r="A667" t="str">
        <f>"662402"</f>
        <v>662402</v>
      </c>
      <c r="B667" t="s">
        <v>2046</v>
      </c>
      <c r="C667" s="46">
        <v>260</v>
      </c>
      <c r="D667" s="46">
        <v>0</v>
      </c>
      <c r="E667" s="46">
        <v>0</v>
      </c>
      <c r="F667" s="46">
        <v>0</v>
      </c>
      <c r="G667" s="46">
        <v>68</v>
      </c>
      <c r="H667" s="46">
        <v>25</v>
      </c>
      <c r="I667" s="46">
        <f t="shared" si="10"/>
        <v>257</v>
      </c>
    </row>
    <row r="668" spans="1:9" x14ac:dyDescent="0.35">
      <c r="A668" t="str">
        <f>"670201"</f>
        <v>670201</v>
      </c>
      <c r="B668" t="s">
        <v>2047</v>
      </c>
      <c r="C668" s="46">
        <v>76</v>
      </c>
      <c r="D668" s="46">
        <v>0</v>
      </c>
      <c r="E668" s="46">
        <v>0</v>
      </c>
      <c r="F668" s="46">
        <v>0</v>
      </c>
      <c r="G668" s="46">
        <v>0</v>
      </c>
      <c r="H668" s="46">
        <v>0</v>
      </c>
      <c r="I668" s="46">
        <f t="shared" si="10"/>
        <v>64</v>
      </c>
    </row>
    <row r="669" spans="1:9" x14ac:dyDescent="0.35">
      <c r="A669" t="str">
        <f>"670401"</f>
        <v>670401</v>
      </c>
      <c r="B669" t="s">
        <v>1532</v>
      </c>
      <c r="C669" s="46">
        <v>54</v>
      </c>
      <c r="D669" s="46">
        <v>0</v>
      </c>
      <c r="E669" s="46">
        <v>0</v>
      </c>
      <c r="F669" s="46">
        <v>0</v>
      </c>
      <c r="G669" s="46">
        <v>0</v>
      </c>
      <c r="H669" s="46">
        <v>0</v>
      </c>
      <c r="I669" s="46">
        <f t="shared" si="10"/>
        <v>45</v>
      </c>
    </row>
    <row r="670" spans="1:9" x14ac:dyDescent="0.35">
      <c r="A670" t="str">
        <f>"671002"</f>
        <v>671002</v>
      </c>
      <c r="B670" t="s">
        <v>2048</v>
      </c>
      <c r="C670" s="46">
        <v>14</v>
      </c>
      <c r="D670" s="46">
        <v>0</v>
      </c>
      <c r="E670" s="46">
        <v>0</v>
      </c>
      <c r="F670" s="46">
        <v>0</v>
      </c>
      <c r="G670" s="46">
        <v>0</v>
      </c>
      <c r="H670" s="46">
        <v>1</v>
      </c>
      <c r="I670" s="46">
        <f t="shared" si="10"/>
        <v>11</v>
      </c>
    </row>
    <row r="671" spans="1:9" x14ac:dyDescent="0.35">
      <c r="A671" t="str">
        <f>"671201"</f>
        <v>671201</v>
      </c>
      <c r="B671" t="s">
        <v>2049</v>
      </c>
      <c r="C671" s="46">
        <v>48</v>
      </c>
      <c r="D671" s="46">
        <v>0</v>
      </c>
      <c r="E671" s="46">
        <v>0</v>
      </c>
      <c r="F671" s="46">
        <v>0</v>
      </c>
      <c r="G671" s="46">
        <v>6</v>
      </c>
      <c r="H671" s="46">
        <v>0</v>
      </c>
      <c r="I671" s="46">
        <f t="shared" si="10"/>
        <v>45</v>
      </c>
    </row>
    <row r="672" spans="1:9" x14ac:dyDescent="0.35">
      <c r="A672" t="str">
        <f>"671501"</f>
        <v>671501</v>
      </c>
      <c r="B672" t="s">
        <v>2050</v>
      </c>
      <c r="C672" s="46">
        <v>50</v>
      </c>
      <c r="D672" s="46">
        <v>0</v>
      </c>
      <c r="E672" s="46">
        <v>0</v>
      </c>
      <c r="F672" s="46">
        <v>0</v>
      </c>
      <c r="G672" s="46">
        <v>0</v>
      </c>
      <c r="H672" s="46">
        <v>29</v>
      </c>
      <c r="I672" s="46">
        <f t="shared" si="10"/>
        <v>17</v>
      </c>
    </row>
    <row r="673" spans="1:9" x14ac:dyDescent="0.35">
      <c r="A673" t="str">
        <f>"680601"</f>
        <v>680601</v>
      </c>
      <c r="B673" t="s">
        <v>2051</v>
      </c>
      <c r="C673" s="46">
        <v>91</v>
      </c>
      <c r="D673" s="46">
        <v>0</v>
      </c>
      <c r="E673" s="46">
        <v>0</v>
      </c>
      <c r="F673" s="46">
        <v>0</v>
      </c>
      <c r="G673" s="46">
        <v>11</v>
      </c>
      <c r="H673" s="46">
        <v>6</v>
      </c>
      <c r="I673" s="46">
        <f t="shared" si="10"/>
        <v>81</v>
      </c>
    </row>
    <row r="674" spans="1:9" x14ac:dyDescent="0.35">
      <c r="A674" t="str">
        <f>"680801"</f>
        <v>680801</v>
      </c>
      <c r="B674" t="s">
        <v>2052</v>
      </c>
      <c r="C674" s="46">
        <v>42</v>
      </c>
      <c r="D674" s="46">
        <v>0</v>
      </c>
      <c r="E674" s="46">
        <v>0</v>
      </c>
      <c r="F674" s="46">
        <v>0</v>
      </c>
      <c r="G674" s="46">
        <v>0</v>
      </c>
      <c r="H674" s="46">
        <v>4</v>
      </c>
      <c r="I674" s="46">
        <f t="shared" si="10"/>
        <v>32</v>
      </c>
    </row>
    <row r="675" spans="1:9" x14ac:dyDescent="0.35">
      <c r="B675" t="s">
        <v>1358</v>
      </c>
      <c r="C675" s="46">
        <f t="shared" ref="C675:I675" si="11">SUM(C2:C674)</f>
        <v>154835</v>
      </c>
      <c r="D675" s="46">
        <f t="shared" si="11"/>
        <v>530</v>
      </c>
      <c r="E675" s="46">
        <f t="shared" si="11"/>
        <v>15159</v>
      </c>
      <c r="F675" s="46">
        <f t="shared" si="11"/>
        <v>1</v>
      </c>
      <c r="G675" s="46">
        <f t="shared" si="11"/>
        <v>29929</v>
      </c>
      <c r="H675" s="46">
        <f t="shared" si="11"/>
        <v>13465</v>
      </c>
      <c r="I675" s="46">
        <f t="shared" si="11"/>
        <v>158640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722"/>
  <sheetViews>
    <sheetView showGridLines="0" tabSelected="1" zoomScaleNormal="100" workbookViewId="0">
      <pane xSplit="2" ySplit="3" topLeftCell="C677" activePane="bottomRight" state="frozen"/>
      <selection pane="topRight" activeCell="C1" sqref="C1"/>
      <selection pane="bottomLeft" activeCell="A4" sqref="A4"/>
      <selection pane="bottomRight" activeCell="B677" sqref="B677"/>
    </sheetView>
  </sheetViews>
  <sheetFormatPr defaultRowHeight="14.5" x14ac:dyDescent="0.35"/>
  <cols>
    <col min="1" max="1" width="7.26953125" customWidth="1"/>
    <col min="2" max="2" width="28.26953125" customWidth="1"/>
    <col min="3" max="3" width="15.54296875" bestFit="1" customWidth="1"/>
    <col min="4" max="4" width="18.7265625" customWidth="1"/>
    <col min="5" max="7" width="15.453125" customWidth="1"/>
    <col min="8" max="8" width="17.1796875" style="21" customWidth="1"/>
    <col min="9" max="10" width="11.1796875" style="83" customWidth="1"/>
    <col min="11" max="14" width="11.1796875" customWidth="1"/>
    <col min="15" max="16" width="12.81640625" customWidth="1"/>
    <col min="17" max="17" width="11.1796875" style="21" customWidth="1"/>
    <col min="18" max="18" width="11.1796875" customWidth="1"/>
    <col min="19" max="33" width="10.7265625" customWidth="1"/>
    <col min="34" max="34" width="11.7265625" customWidth="1"/>
    <col min="35" max="35" width="12" customWidth="1"/>
    <col min="36" max="36" width="12.54296875" customWidth="1"/>
    <col min="37" max="37" width="12.7265625" customWidth="1"/>
  </cols>
  <sheetData>
    <row r="1" spans="1:37" ht="15" thickBot="1" x14ac:dyDescent="0.4">
      <c r="H1" s="1"/>
      <c r="I1" s="1"/>
      <c r="J1" s="1"/>
      <c r="Q1" s="1"/>
      <c r="AH1" s="50"/>
      <c r="AI1" s="50"/>
    </row>
    <row r="2" spans="1:37" ht="76" customHeight="1" thickBot="1" x14ac:dyDescent="0.4">
      <c r="H2" s="47" t="s">
        <v>1545</v>
      </c>
      <c r="I2" s="48"/>
      <c r="J2" s="48"/>
      <c r="K2" s="48"/>
      <c r="L2" s="48"/>
      <c r="M2" s="48"/>
      <c r="N2" s="48"/>
      <c r="O2" s="49"/>
      <c r="P2" s="47" t="s">
        <v>1546</v>
      </c>
      <c r="Q2" s="48"/>
      <c r="R2" s="112"/>
      <c r="S2" s="117" t="s">
        <v>1499</v>
      </c>
      <c r="T2" s="118"/>
      <c r="U2" s="119"/>
      <c r="V2" s="117" t="s">
        <v>1500</v>
      </c>
      <c r="W2" s="119"/>
      <c r="X2" s="117" t="s">
        <v>1501</v>
      </c>
      <c r="Y2" s="118"/>
      <c r="Z2" s="119"/>
      <c r="AA2" s="117" t="s">
        <v>1502</v>
      </c>
      <c r="AB2" s="118"/>
      <c r="AC2" s="118"/>
      <c r="AD2" s="118"/>
      <c r="AE2" s="118"/>
      <c r="AF2" s="118"/>
      <c r="AG2" s="119"/>
      <c r="AH2" s="47" t="s">
        <v>0</v>
      </c>
      <c r="AI2" s="48"/>
      <c r="AJ2" s="48"/>
      <c r="AK2" s="49"/>
    </row>
    <row r="3" spans="1:37" s="10" customFormat="1" ht="72.5" x14ac:dyDescent="0.35">
      <c r="A3" s="51" t="s">
        <v>1</v>
      </c>
      <c r="B3" s="2" t="s">
        <v>2</v>
      </c>
      <c r="C3" s="69" t="s">
        <v>1414</v>
      </c>
      <c r="D3" s="69" t="s">
        <v>2063</v>
      </c>
      <c r="E3" s="3" t="s">
        <v>4</v>
      </c>
      <c r="F3" s="70" t="s">
        <v>5</v>
      </c>
      <c r="G3" s="5" t="s">
        <v>6</v>
      </c>
      <c r="H3" s="60" t="s">
        <v>7</v>
      </c>
      <c r="I3" s="77" t="s">
        <v>1409</v>
      </c>
      <c r="J3" s="77" t="s">
        <v>1410</v>
      </c>
      <c r="K3" s="3" t="s">
        <v>8</v>
      </c>
      <c r="L3" s="8" t="s">
        <v>1411</v>
      </c>
      <c r="M3" s="8" t="s">
        <v>1412</v>
      </c>
      <c r="N3" s="5" t="s">
        <v>9</v>
      </c>
      <c r="O3" s="5" t="s">
        <v>10</v>
      </c>
      <c r="P3" s="108" t="s">
        <v>7</v>
      </c>
      <c r="Q3" s="8" t="s">
        <v>1410</v>
      </c>
      <c r="R3" s="79" t="s">
        <v>1412</v>
      </c>
      <c r="S3" s="3" t="s">
        <v>11</v>
      </c>
      <c r="T3" s="4" t="s">
        <v>12</v>
      </c>
      <c r="U3" s="5" t="s">
        <v>13</v>
      </c>
      <c r="V3" s="3" t="s">
        <v>11</v>
      </c>
      <c r="W3" s="5" t="s">
        <v>1413</v>
      </c>
      <c r="X3" s="3" t="s">
        <v>11</v>
      </c>
      <c r="Y3" s="4" t="s">
        <v>12</v>
      </c>
      <c r="Z3" s="5" t="s">
        <v>13</v>
      </c>
      <c r="AA3" s="77" t="s">
        <v>1402</v>
      </c>
      <c r="AB3" s="77" t="s">
        <v>1406</v>
      </c>
      <c r="AC3" s="77" t="s">
        <v>1407</v>
      </c>
      <c r="AD3" s="78" t="s">
        <v>1403</v>
      </c>
      <c r="AE3" s="8" t="s">
        <v>1408</v>
      </c>
      <c r="AF3" s="8" t="s">
        <v>1405</v>
      </c>
      <c r="AG3" s="79" t="s">
        <v>1404</v>
      </c>
      <c r="AH3" s="6" t="s">
        <v>14</v>
      </c>
      <c r="AI3" s="7" t="s">
        <v>15</v>
      </c>
      <c r="AJ3" s="8" t="s">
        <v>1498</v>
      </c>
      <c r="AK3" s="9" t="s">
        <v>1547</v>
      </c>
    </row>
    <row r="4" spans="1:37" x14ac:dyDescent="0.35">
      <c r="A4" s="11" t="s">
        <v>16</v>
      </c>
      <c r="B4" s="12" t="s">
        <v>17</v>
      </c>
      <c r="C4" s="54" t="s">
        <v>1368</v>
      </c>
      <c r="D4" s="54" t="s">
        <v>18</v>
      </c>
      <c r="E4" s="66">
        <f>F4+G4</f>
        <v>807</v>
      </c>
      <c r="F4" s="13">
        <f>N4+R4+S4+V4+X4+AG4</f>
        <v>807</v>
      </c>
      <c r="G4" s="67">
        <f>K4+Q4+AD4</f>
        <v>0</v>
      </c>
      <c r="H4" s="64">
        <f>K4+N4</f>
        <v>727</v>
      </c>
      <c r="I4" s="80">
        <v>0</v>
      </c>
      <c r="J4" s="80">
        <v>0</v>
      </c>
      <c r="K4" s="59">
        <f>I4+J4</f>
        <v>0</v>
      </c>
      <c r="L4" s="59">
        <v>263</v>
      </c>
      <c r="M4" s="59">
        <v>464</v>
      </c>
      <c r="N4" s="59">
        <f>L4+M4</f>
        <v>727</v>
      </c>
      <c r="O4" s="15">
        <f>T4+Y4</f>
        <v>0</v>
      </c>
      <c r="P4" s="87">
        <f>Q4+R4</f>
        <v>0</v>
      </c>
      <c r="Q4" s="110">
        <v>0</v>
      </c>
      <c r="R4" s="59">
        <v>0</v>
      </c>
      <c r="S4" s="14">
        <v>0</v>
      </c>
      <c r="T4" s="59">
        <v>0</v>
      </c>
      <c r="U4" s="15">
        <f>S4+T4</f>
        <v>0</v>
      </c>
      <c r="V4" s="14">
        <v>0</v>
      </c>
      <c r="W4" s="15">
        <f>V4</f>
        <v>0</v>
      </c>
      <c r="X4" s="14">
        <v>80</v>
      </c>
      <c r="Y4" s="75">
        <v>0</v>
      </c>
      <c r="Z4" s="87">
        <f>X4+Y4</f>
        <v>80</v>
      </c>
      <c r="AA4" s="14">
        <f>AD4+AG4</f>
        <v>0</v>
      </c>
      <c r="AB4" s="75">
        <v>0</v>
      </c>
      <c r="AC4" s="75">
        <v>0</v>
      </c>
      <c r="AD4" s="59">
        <f>AB4+AC4</f>
        <v>0</v>
      </c>
      <c r="AE4" s="73">
        <v>0</v>
      </c>
      <c r="AF4" s="73">
        <v>0</v>
      </c>
      <c r="AG4" s="15">
        <f>AE4+AF4</f>
        <v>0</v>
      </c>
      <c r="AH4" s="16">
        <f>J4+Q4+AC4</f>
        <v>0</v>
      </c>
      <c r="AI4" s="17">
        <f>M4+R4+S4+V4+X4+AF4</f>
        <v>544</v>
      </c>
      <c r="AJ4" s="12">
        <f>VLOOKUP(A4,'PreK Proxy - Sept. 2024'!$A$2:$I$674,9,FALSE)</f>
        <v>672</v>
      </c>
      <c r="AK4" s="18">
        <f>IFERROR(MIN(100%,((AI4+AH4)/AJ4)),0)</f>
        <v>0.80952380952380953</v>
      </c>
    </row>
    <row r="5" spans="1:37" x14ac:dyDescent="0.35">
      <c r="A5" s="11" t="s">
        <v>19</v>
      </c>
      <c r="B5" s="12" t="s">
        <v>20</v>
      </c>
      <c r="C5" s="54" t="s">
        <v>1368</v>
      </c>
      <c r="D5" s="54" t="s">
        <v>18</v>
      </c>
      <c r="E5" s="66">
        <f t="shared" ref="E5:E68" si="0">F5+G5</f>
        <v>31</v>
      </c>
      <c r="F5" s="13">
        <f t="shared" ref="F5:F68" si="1">N5+R5+S5+V5+X5+AG5</f>
        <v>31</v>
      </c>
      <c r="G5" s="67">
        <f t="shared" ref="G5:G68" si="2">K5+Q5+AD5</f>
        <v>0</v>
      </c>
      <c r="H5" s="64">
        <f t="shared" ref="H5:H67" si="3">K5+N5</f>
        <v>31</v>
      </c>
      <c r="I5" s="80">
        <v>0</v>
      </c>
      <c r="J5" s="80">
        <v>0</v>
      </c>
      <c r="K5" s="59">
        <f t="shared" ref="K5:K68" si="4">I5+J5</f>
        <v>0</v>
      </c>
      <c r="L5" s="59">
        <v>0</v>
      </c>
      <c r="M5" s="59">
        <v>31</v>
      </c>
      <c r="N5" s="59">
        <f t="shared" ref="N5:N68" si="5">L5+M5</f>
        <v>31</v>
      </c>
      <c r="O5" s="15">
        <f t="shared" ref="O5:O68" si="6">T5+Y5</f>
        <v>0</v>
      </c>
      <c r="P5" s="87">
        <f t="shared" ref="P5:P68" si="7">Q5+R5</f>
        <v>0</v>
      </c>
      <c r="Q5" s="110">
        <v>0</v>
      </c>
      <c r="R5" s="59">
        <v>0</v>
      </c>
      <c r="S5" s="14">
        <v>0</v>
      </c>
      <c r="T5" s="59">
        <v>0</v>
      </c>
      <c r="U5" s="15">
        <f t="shared" ref="U5:U68" si="8">S5+T5</f>
        <v>0</v>
      </c>
      <c r="V5" s="14">
        <v>0</v>
      </c>
      <c r="W5" s="15">
        <f t="shared" ref="W5:W68" si="9">V5</f>
        <v>0</v>
      </c>
      <c r="X5" s="14">
        <v>0</v>
      </c>
      <c r="Y5" s="75">
        <v>0</v>
      </c>
      <c r="Z5" s="87">
        <f t="shared" ref="Z5:Z68" si="10">X5+Y5</f>
        <v>0</v>
      </c>
      <c r="AA5" s="14">
        <f t="shared" ref="AA5:AA68" si="11">AD5+AG5</f>
        <v>0</v>
      </c>
      <c r="AB5" s="75">
        <v>0</v>
      </c>
      <c r="AC5" s="75">
        <v>0</v>
      </c>
      <c r="AD5" s="59">
        <f t="shared" ref="AD5:AD68" si="12">AB5+AC5</f>
        <v>0</v>
      </c>
      <c r="AE5" s="73">
        <v>0</v>
      </c>
      <c r="AF5" s="73">
        <v>0</v>
      </c>
      <c r="AG5" s="15">
        <f t="shared" ref="AG5:AG68" si="13">AE5+AF5</f>
        <v>0</v>
      </c>
      <c r="AH5" s="16">
        <f t="shared" ref="AH5:AH68" si="14">J5+Q5+AC5</f>
        <v>0</v>
      </c>
      <c r="AI5" s="17">
        <f t="shared" ref="AI5:AI68" si="15">M5+R5+S5+V5+X5+AF5</f>
        <v>31</v>
      </c>
      <c r="AJ5" s="12">
        <f>VLOOKUP(A5,'PreK Proxy - Sept. 2024'!$A$2:$I$674,9,FALSE)</f>
        <v>41</v>
      </c>
      <c r="AK5" s="18">
        <f t="shared" ref="AK5:AK68" si="16">IFERROR(MIN(100%,((AI5+AH5)/AJ5)),0)</f>
        <v>0.75609756097560976</v>
      </c>
    </row>
    <row r="6" spans="1:37" x14ac:dyDescent="0.35">
      <c r="A6" s="11" t="s">
        <v>21</v>
      </c>
      <c r="B6" s="12" t="s">
        <v>22</v>
      </c>
      <c r="C6" s="54" t="s">
        <v>1368</v>
      </c>
      <c r="D6" s="54" t="s">
        <v>18</v>
      </c>
      <c r="E6" s="66">
        <f t="shared" si="0"/>
        <v>0</v>
      </c>
      <c r="F6" s="13">
        <f t="shared" si="1"/>
        <v>0</v>
      </c>
      <c r="G6" s="67">
        <f t="shared" si="2"/>
        <v>0</v>
      </c>
      <c r="H6" s="64">
        <f t="shared" si="3"/>
        <v>0</v>
      </c>
      <c r="I6" s="80">
        <v>0</v>
      </c>
      <c r="J6" s="80">
        <v>0</v>
      </c>
      <c r="K6" s="59">
        <f t="shared" si="4"/>
        <v>0</v>
      </c>
      <c r="L6" s="59">
        <v>0</v>
      </c>
      <c r="M6" s="59">
        <v>0</v>
      </c>
      <c r="N6" s="59">
        <f t="shared" si="5"/>
        <v>0</v>
      </c>
      <c r="O6" s="15">
        <f t="shared" si="6"/>
        <v>0</v>
      </c>
      <c r="P6" s="87">
        <f t="shared" si="7"/>
        <v>0</v>
      </c>
      <c r="Q6" s="110">
        <v>0</v>
      </c>
      <c r="R6" s="59">
        <v>0</v>
      </c>
      <c r="S6" s="14">
        <v>0</v>
      </c>
      <c r="T6" s="59">
        <v>0</v>
      </c>
      <c r="U6" s="15">
        <f t="shared" si="8"/>
        <v>0</v>
      </c>
      <c r="V6" s="14">
        <v>0</v>
      </c>
      <c r="W6" s="15">
        <f t="shared" si="9"/>
        <v>0</v>
      </c>
      <c r="X6" s="14">
        <v>0</v>
      </c>
      <c r="Y6" s="75">
        <v>0</v>
      </c>
      <c r="Z6" s="87">
        <f t="shared" si="10"/>
        <v>0</v>
      </c>
      <c r="AA6" s="14">
        <f t="shared" si="11"/>
        <v>0</v>
      </c>
      <c r="AB6" s="75">
        <v>0</v>
      </c>
      <c r="AC6" s="75">
        <v>0</v>
      </c>
      <c r="AD6" s="59">
        <f t="shared" si="12"/>
        <v>0</v>
      </c>
      <c r="AE6" s="73">
        <v>0</v>
      </c>
      <c r="AF6" s="73">
        <v>0</v>
      </c>
      <c r="AG6" s="15">
        <f t="shared" si="13"/>
        <v>0</v>
      </c>
      <c r="AH6" s="16">
        <f t="shared" si="14"/>
        <v>0</v>
      </c>
      <c r="AI6" s="17">
        <f t="shared" si="15"/>
        <v>0</v>
      </c>
      <c r="AJ6" s="12">
        <f>VLOOKUP(A6,'PreK Proxy - Sept. 2024'!$A$2:$I$674,9,FALSE)</f>
        <v>263</v>
      </c>
      <c r="AK6" s="18">
        <f t="shared" si="16"/>
        <v>0</v>
      </c>
    </row>
    <row r="7" spans="1:37" x14ac:dyDescent="0.35">
      <c r="A7" s="11" t="s">
        <v>23</v>
      </c>
      <c r="B7" s="12" t="s">
        <v>24</v>
      </c>
      <c r="C7" s="54" t="s">
        <v>1368</v>
      </c>
      <c r="D7" s="54" t="s">
        <v>18</v>
      </c>
      <c r="E7" s="66">
        <f t="shared" si="0"/>
        <v>70</v>
      </c>
      <c r="F7" s="13">
        <f t="shared" si="1"/>
        <v>70</v>
      </c>
      <c r="G7" s="67">
        <f t="shared" si="2"/>
        <v>0</v>
      </c>
      <c r="H7" s="64">
        <f t="shared" si="3"/>
        <v>64</v>
      </c>
      <c r="I7" s="80">
        <v>0</v>
      </c>
      <c r="J7" s="80">
        <v>0</v>
      </c>
      <c r="K7" s="59">
        <f t="shared" si="4"/>
        <v>0</v>
      </c>
      <c r="L7" s="59">
        <v>0</v>
      </c>
      <c r="M7" s="59">
        <v>64</v>
      </c>
      <c r="N7" s="59">
        <f t="shared" si="5"/>
        <v>64</v>
      </c>
      <c r="O7" s="15">
        <f t="shared" si="6"/>
        <v>56</v>
      </c>
      <c r="P7" s="87">
        <f t="shared" si="7"/>
        <v>0</v>
      </c>
      <c r="Q7" s="110">
        <v>0</v>
      </c>
      <c r="R7" s="59">
        <v>0</v>
      </c>
      <c r="S7" s="14">
        <v>0</v>
      </c>
      <c r="T7" s="59">
        <v>0</v>
      </c>
      <c r="U7" s="15">
        <f t="shared" si="8"/>
        <v>0</v>
      </c>
      <c r="V7" s="14">
        <v>0</v>
      </c>
      <c r="W7" s="15">
        <f t="shared" si="9"/>
        <v>0</v>
      </c>
      <c r="X7" s="14">
        <v>6</v>
      </c>
      <c r="Y7" s="75">
        <v>56</v>
      </c>
      <c r="Z7" s="87">
        <f t="shared" si="10"/>
        <v>62</v>
      </c>
      <c r="AA7" s="14">
        <f t="shared" si="11"/>
        <v>0</v>
      </c>
      <c r="AB7" s="75">
        <v>0</v>
      </c>
      <c r="AC7" s="75">
        <v>0</v>
      </c>
      <c r="AD7" s="59">
        <f t="shared" si="12"/>
        <v>0</v>
      </c>
      <c r="AE7" s="73">
        <v>0</v>
      </c>
      <c r="AF7" s="73">
        <v>0</v>
      </c>
      <c r="AG7" s="15">
        <f t="shared" si="13"/>
        <v>0</v>
      </c>
      <c r="AH7" s="16">
        <f t="shared" si="14"/>
        <v>0</v>
      </c>
      <c r="AI7" s="17">
        <f t="shared" si="15"/>
        <v>70</v>
      </c>
      <c r="AJ7" s="12">
        <f>VLOOKUP(A7,'PreK Proxy - Sept. 2024'!$A$2:$I$674,9,FALSE)</f>
        <v>107</v>
      </c>
      <c r="AK7" s="18">
        <f t="shared" si="16"/>
        <v>0.65420560747663548</v>
      </c>
    </row>
    <row r="8" spans="1:37" x14ac:dyDescent="0.35">
      <c r="A8" s="11" t="s">
        <v>25</v>
      </c>
      <c r="B8" s="12" t="s">
        <v>26</v>
      </c>
      <c r="C8" s="54" t="s">
        <v>1368</v>
      </c>
      <c r="D8" s="54" t="s">
        <v>18</v>
      </c>
      <c r="E8" s="66">
        <f t="shared" si="0"/>
        <v>139</v>
      </c>
      <c r="F8" s="13">
        <f t="shared" si="1"/>
        <v>139</v>
      </c>
      <c r="G8" s="67">
        <f t="shared" si="2"/>
        <v>0</v>
      </c>
      <c r="H8" s="64">
        <f t="shared" si="3"/>
        <v>122</v>
      </c>
      <c r="I8" s="80">
        <v>0</v>
      </c>
      <c r="J8" s="80">
        <v>0</v>
      </c>
      <c r="K8" s="59">
        <f t="shared" si="4"/>
        <v>0</v>
      </c>
      <c r="L8" s="59">
        <v>53</v>
      </c>
      <c r="M8" s="59">
        <v>69</v>
      </c>
      <c r="N8" s="59">
        <f t="shared" si="5"/>
        <v>122</v>
      </c>
      <c r="O8" s="15">
        <f t="shared" si="6"/>
        <v>0</v>
      </c>
      <c r="P8" s="87">
        <f t="shared" si="7"/>
        <v>0</v>
      </c>
      <c r="Q8" s="110">
        <v>0</v>
      </c>
      <c r="R8" s="59">
        <v>0</v>
      </c>
      <c r="S8" s="14">
        <v>0</v>
      </c>
      <c r="T8" s="59">
        <v>0</v>
      </c>
      <c r="U8" s="15">
        <f t="shared" si="8"/>
        <v>0</v>
      </c>
      <c r="V8" s="14">
        <v>0</v>
      </c>
      <c r="W8" s="15">
        <f t="shared" si="9"/>
        <v>0</v>
      </c>
      <c r="X8" s="14">
        <v>17</v>
      </c>
      <c r="Y8" s="75">
        <v>0</v>
      </c>
      <c r="Z8" s="87">
        <f t="shared" si="10"/>
        <v>17</v>
      </c>
      <c r="AA8" s="14">
        <f t="shared" si="11"/>
        <v>0</v>
      </c>
      <c r="AB8" s="75">
        <v>0</v>
      </c>
      <c r="AC8" s="75">
        <v>0</v>
      </c>
      <c r="AD8" s="59">
        <f t="shared" si="12"/>
        <v>0</v>
      </c>
      <c r="AE8" s="73">
        <v>0</v>
      </c>
      <c r="AF8" s="73">
        <v>0</v>
      </c>
      <c r="AG8" s="15">
        <f t="shared" si="13"/>
        <v>0</v>
      </c>
      <c r="AH8" s="16">
        <f t="shared" si="14"/>
        <v>0</v>
      </c>
      <c r="AI8" s="17">
        <f t="shared" si="15"/>
        <v>86</v>
      </c>
      <c r="AJ8" s="12">
        <f>VLOOKUP(A8,'PreK Proxy - Sept. 2024'!$A$2:$I$674,9,FALSE)</f>
        <v>125</v>
      </c>
      <c r="AK8" s="18">
        <f t="shared" si="16"/>
        <v>0.68799999999999994</v>
      </c>
    </row>
    <row r="9" spans="1:37" x14ac:dyDescent="0.35">
      <c r="A9" s="11" t="s">
        <v>27</v>
      </c>
      <c r="B9" s="12" t="s">
        <v>28</v>
      </c>
      <c r="C9" s="54" t="s">
        <v>1368</v>
      </c>
      <c r="D9" s="54" t="s">
        <v>18</v>
      </c>
      <c r="E9" s="66">
        <f t="shared" si="0"/>
        <v>144</v>
      </c>
      <c r="F9" s="13">
        <f t="shared" si="1"/>
        <v>52</v>
      </c>
      <c r="G9" s="67">
        <f t="shared" si="2"/>
        <v>92</v>
      </c>
      <c r="H9" s="64">
        <f t="shared" si="3"/>
        <v>118</v>
      </c>
      <c r="I9" s="80">
        <v>0</v>
      </c>
      <c r="J9" s="80">
        <v>92</v>
      </c>
      <c r="K9" s="59">
        <f t="shared" si="4"/>
        <v>92</v>
      </c>
      <c r="L9" s="59">
        <v>0</v>
      </c>
      <c r="M9" s="59">
        <v>26</v>
      </c>
      <c r="N9" s="59">
        <f t="shared" si="5"/>
        <v>26</v>
      </c>
      <c r="O9" s="15">
        <f t="shared" si="6"/>
        <v>0</v>
      </c>
      <c r="P9" s="87">
        <f t="shared" si="7"/>
        <v>26</v>
      </c>
      <c r="Q9" s="110">
        <v>0</v>
      </c>
      <c r="R9" s="59">
        <v>26</v>
      </c>
      <c r="S9" s="14">
        <v>0</v>
      </c>
      <c r="T9" s="59">
        <v>0</v>
      </c>
      <c r="U9" s="15">
        <f t="shared" si="8"/>
        <v>0</v>
      </c>
      <c r="V9" s="14">
        <v>0</v>
      </c>
      <c r="W9" s="15">
        <f t="shared" si="9"/>
        <v>0</v>
      </c>
      <c r="X9" s="14">
        <v>0</v>
      </c>
      <c r="Y9" s="75">
        <v>0</v>
      </c>
      <c r="Z9" s="87">
        <f t="shared" si="10"/>
        <v>0</v>
      </c>
      <c r="AA9" s="14">
        <f t="shared" si="11"/>
        <v>0</v>
      </c>
      <c r="AB9" s="75">
        <v>0</v>
      </c>
      <c r="AC9" s="75">
        <v>0</v>
      </c>
      <c r="AD9" s="59">
        <f t="shared" si="12"/>
        <v>0</v>
      </c>
      <c r="AE9" s="73">
        <v>0</v>
      </c>
      <c r="AF9" s="73">
        <v>0</v>
      </c>
      <c r="AG9" s="15">
        <f t="shared" si="13"/>
        <v>0</v>
      </c>
      <c r="AH9" s="16">
        <f t="shared" si="14"/>
        <v>92</v>
      </c>
      <c r="AI9" s="17">
        <f t="shared" si="15"/>
        <v>52</v>
      </c>
      <c r="AJ9" s="12">
        <f>VLOOKUP(A9,'PreK Proxy - Sept. 2024'!$A$2:$I$674,9,FALSE)</f>
        <v>294</v>
      </c>
      <c r="AK9" s="18">
        <f t="shared" si="16"/>
        <v>0.48979591836734693</v>
      </c>
    </row>
    <row r="10" spans="1:37" x14ac:dyDescent="0.35">
      <c r="A10" s="11" t="s">
        <v>29</v>
      </c>
      <c r="B10" s="12" t="s">
        <v>30</v>
      </c>
      <c r="C10" s="54" t="s">
        <v>1368</v>
      </c>
      <c r="D10" s="54" t="s">
        <v>18</v>
      </c>
      <c r="E10" s="66">
        <f t="shared" si="0"/>
        <v>18</v>
      </c>
      <c r="F10" s="13">
        <f t="shared" si="1"/>
        <v>18</v>
      </c>
      <c r="G10" s="67">
        <f t="shared" si="2"/>
        <v>0</v>
      </c>
      <c r="H10" s="64">
        <f t="shared" si="3"/>
        <v>0</v>
      </c>
      <c r="I10" s="80">
        <v>0</v>
      </c>
      <c r="J10" s="80">
        <v>0</v>
      </c>
      <c r="K10" s="59">
        <f t="shared" si="4"/>
        <v>0</v>
      </c>
      <c r="L10" s="59">
        <v>0</v>
      </c>
      <c r="M10" s="59">
        <v>0</v>
      </c>
      <c r="N10" s="59">
        <f t="shared" si="5"/>
        <v>0</v>
      </c>
      <c r="O10" s="15">
        <f t="shared" si="6"/>
        <v>0</v>
      </c>
      <c r="P10" s="87">
        <f t="shared" si="7"/>
        <v>18</v>
      </c>
      <c r="Q10" s="110">
        <v>0</v>
      </c>
      <c r="R10" s="59">
        <v>18</v>
      </c>
      <c r="S10" s="14">
        <v>0</v>
      </c>
      <c r="T10" s="59">
        <v>0</v>
      </c>
      <c r="U10" s="15">
        <f t="shared" si="8"/>
        <v>0</v>
      </c>
      <c r="V10" s="14">
        <v>0</v>
      </c>
      <c r="W10" s="15">
        <f t="shared" si="9"/>
        <v>0</v>
      </c>
      <c r="X10" s="14">
        <v>0</v>
      </c>
      <c r="Y10" s="75">
        <v>0</v>
      </c>
      <c r="Z10" s="87">
        <f t="shared" si="10"/>
        <v>0</v>
      </c>
      <c r="AA10" s="14">
        <f t="shared" si="11"/>
        <v>0</v>
      </c>
      <c r="AB10" s="75">
        <v>0</v>
      </c>
      <c r="AC10" s="75">
        <v>0</v>
      </c>
      <c r="AD10" s="59">
        <f t="shared" si="12"/>
        <v>0</v>
      </c>
      <c r="AE10" s="73">
        <v>0</v>
      </c>
      <c r="AF10" s="73">
        <v>0</v>
      </c>
      <c r="AG10" s="15">
        <f t="shared" si="13"/>
        <v>0</v>
      </c>
      <c r="AH10" s="16">
        <f t="shared" si="14"/>
        <v>0</v>
      </c>
      <c r="AI10" s="17">
        <f t="shared" si="15"/>
        <v>18</v>
      </c>
      <c r="AJ10" s="12">
        <f>VLOOKUP(A10,'PreK Proxy - Sept. 2024'!$A$2:$I$674,9,FALSE)</f>
        <v>30</v>
      </c>
      <c r="AK10" s="18">
        <f t="shared" si="16"/>
        <v>0.6</v>
      </c>
    </row>
    <row r="11" spans="1:37" x14ac:dyDescent="0.35">
      <c r="A11" s="11" t="s">
        <v>31</v>
      </c>
      <c r="B11" s="12" t="s">
        <v>32</v>
      </c>
      <c r="C11" s="54" t="s">
        <v>1368</v>
      </c>
      <c r="D11" s="54" t="s">
        <v>18</v>
      </c>
      <c r="E11" s="66">
        <f t="shared" si="0"/>
        <v>163</v>
      </c>
      <c r="F11" s="13">
        <f t="shared" si="1"/>
        <v>163</v>
      </c>
      <c r="G11" s="67">
        <f t="shared" si="2"/>
        <v>0</v>
      </c>
      <c r="H11" s="64">
        <f t="shared" si="3"/>
        <v>15</v>
      </c>
      <c r="I11" s="80">
        <v>0</v>
      </c>
      <c r="J11" s="80">
        <v>0</v>
      </c>
      <c r="K11" s="59">
        <f t="shared" si="4"/>
        <v>0</v>
      </c>
      <c r="L11" s="59">
        <v>0</v>
      </c>
      <c r="M11" s="59">
        <v>15</v>
      </c>
      <c r="N11" s="59">
        <f t="shared" si="5"/>
        <v>15</v>
      </c>
      <c r="O11" s="15">
        <f t="shared" si="6"/>
        <v>0</v>
      </c>
      <c r="P11" s="87">
        <f t="shared" si="7"/>
        <v>94</v>
      </c>
      <c r="Q11" s="110">
        <v>0</v>
      </c>
      <c r="R11" s="59">
        <v>94</v>
      </c>
      <c r="S11" s="14">
        <v>54</v>
      </c>
      <c r="T11" s="59">
        <v>0</v>
      </c>
      <c r="U11" s="15">
        <f t="shared" si="8"/>
        <v>54</v>
      </c>
      <c r="V11" s="14">
        <v>0</v>
      </c>
      <c r="W11" s="15">
        <f t="shared" si="9"/>
        <v>0</v>
      </c>
      <c r="X11" s="14">
        <v>0</v>
      </c>
      <c r="Y11" s="75">
        <v>0</v>
      </c>
      <c r="Z11" s="87">
        <f t="shared" si="10"/>
        <v>0</v>
      </c>
      <c r="AA11" s="14">
        <f t="shared" si="11"/>
        <v>0</v>
      </c>
      <c r="AB11" s="75">
        <v>0</v>
      </c>
      <c r="AC11" s="75">
        <v>0</v>
      </c>
      <c r="AD11" s="59">
        <f t="shared" si="12"/>
        <v>0</v>
      </c>
      <c r="AE11" s="73">
        <v>0</v>
      </c>
      <c r="AF11" s="73">
        <v>0</v>
      </c>
      <c r="AG11" s="15">
        <f t="shared" si="13"/>
        <v>0</v>
      </c>
      <c r="AH11" s="16">
        <f t="shared" si="14"/>
        <v>0</v>
      </c>
      <c r="AI11" s="17">
        <f t="shared" si="15"/>
        <v>163</v>
      </c>
      <c r="AJ11" s="12">
        <f>VLOOKUP(A11,'PreK Proxy - Sept. 2024'!$A$2:$I$674,9,FALSE)</f>
        <v>377</v>
      </c>
      <c r="AK11" s="18">
        <f t="shared" si="16"/>
        <v>0.43236074270557029</v>
      </c>
    </row>
    <row r="12" spans="1:37" x14ac:dyDescent="0.35">
      <c r="A12" s="11" t="s">
        <v>33</v>
      </c>
      <c r="B12" s="12" t="s">
        <v>34</v>
      </c>
      <c r="C12" s="54" t="s">
        <v>1368</v>
      </c>
      <c r="D12" s="54" t="s">
        <v>18</v>
      </c>
      <c r="E12" s="66">
        <f t="shared" si="0"/>
        <v>13</v>
      </c>
      <c r="F12" s="13">
        <f t="shared" si="1"/>
        <v>13</v>
      </c>
      <c r="G12" s="67">
        <f t="shared" si="2"/>
        <v>0</v>
      </c>
      <c r="H12" s="64">
        <f t="shared" si="3"/>
        <v>13</v>
      </c>
      <c r="I12" s="80">
        <v>0</v>
      </c>
      <c r="J12" s="80">
        <v>0</v>
      </c>
      <c r="K12" s="59">
        <f t="shared" si="4"/>
        <v>0</v>
      </c>
      <c r="L12" s="59">
        <v>0</v>
      </c>
      <c r="M12" s="59">
        <v>13</v>
      </c>
      <c r="N12" s="59">
        <f t="shared" si="5"/>
        <v>13</v>
      </c>
      <c r="O12" s="15">
        <f t="shared" si="6"/>
        <v>0</v>
      </c>
      <c r="P12" s="87">
        <f t="shared" si="7"/>
        <v>0</v>
      </c>
      <c r="Q12" s="110">
        <v>0</v>
      </c>
      <c r="R12" s="59">
        <v>0</v>
      </c>
      <c r="S12" s="14">
        <v>0</v>
      </c>
      <c r="T12" s="59">
        <v>0</v>
      </c>
      <c r="U12" s="15">
        <f t="shared" si="8"/>
        <v>0</v>
      </c>
      <c r="V12" s="14">
        <v>0</v>
      </c>
      <c r="W12" s="15">
        <f t="shared" si="9"/>
        <v>0</v>
      </c>
      <c r="X12" s="14">
        <v>0</v>
      </c>
      <c r="Y12" s="75">
        <v>0</v>
      </c>
      <c r="Z12" s="87">
        <f t="shared" si="10"/>
        <v>0</v>
      </c>
      <c r="AA12" s="14">
        <f t="shared" si="11"/>
        <v>0</v>
      </c>
      <c r="AB12" s="75">
        <v>0</v>
      </c>
      <c r="AC12" s="75">
        <v>0</v>
      </c>
      <c r="AD12" s="59">
        <f t="shared" si="12"/>
        <v>0</v>
      </c>
      <c r="AE12" s="73">
        <v>0</v>
      </c>
      <c r="AF12" s="73">
        <v>0</v>
      </c>
      <c r="AG12" s="15">
        <f t="shared" si="13"/>
        <v>0</v>
      </c>
      <c r="AH12" s="16">
        <f t="shared" si="14"/>
        <v>0</v>
      </c>
      <c r="AI12" s="17">
        <f t="shared" si="15"/>
        <v>13</v>
      </c>
      <c r="AJ12" s="12">
        <f>VLOOKUP(A12,'PreK Proxy - Sept. 2024'!$A$2:$I$674,9,FALSE)</f>
        <v>11</v>
      </c>
      <c r="AK12" s="18">
        <f t="shared" si="16"/>
        <v>1</v>
      </c>
    </row>
    <row r="13" spans="1:37" x14ac:dyDescent="0.35">
      <c r="A13" s="11" t="s">
        <v>35</v>
      </c>
      <c r="B13" s="12" t="s">
        <v>36</v>
      </c>
      <c r="C13" s="54" t="s">
        <v>1368</v>
      </c>
      <c r="D13" s="54" t="s">
        <v>18</v>
      </c>
      <c r="E13" s="66">
        <f t="shared" si="0"/>
        <v>108</v>
      </c>
      <c r="F13" s="13">
        <f t="shared" si="1"/>
        <v>108</v>
      </c>
      <c r="G13" s="67">
        <f t="shared" si="2"/>
        <v>0</v>
      </c>
      <c r="H13" s="64">
        <f t="shared" si="3"/>
        <v>0</v>
      </c>
      <c r="I13" s="80">
        <v>0</v>
      </c>
      <c r="J13" s="80">
        <v>0</v>
      </c>
      <c r="K13" s="59">
        <f t="shared" si="4"/>
        <v>0</v>
      </c>
      <c r="L13" s="59">
        <v>0</v>
      </c>
      <c r="M13" s="59">
        <v>0</v>
      </c>
      <c r="N13" s="59">
        <f t="shared" si="5"/>
        <v>0</v>
      </c>
      <c r="O13" s="15">
        <f t="shared" si="6"/>
        <v>0</v>
      </c>
      <c r="P13" s="87">
        <f t="shared" si="7"/>
        <v>108</v>
      </c>
      <c r="Q13" s="110">
        <v>0</v>
      </c>
      <c r="R13" s="59">
        <v>108</v>
      </c>
      <c r="S13" s="14">
        <v>0</v>
      </c>
      <c r="T13" s="59">
        <v>0</v>
      </c>
      <c r="U13" s="15">
        <f t="shared" si="8"/>
        <v>0</v>
      </c>
      <c r="V13" s="14">
        <v>0</v>
      </c>
      <c r="W13" s="15">
        <f t="shared" si="9"/>
        <v>0</v>
      </c>
      <c r="X13" s="14">
        <v>0</v>
      </c>
      <c r="Y13" s="75">
        <v>0</v>
      </c>
      <c r="Z13" s="87">
        <f t="shared" si="10"/>
        <v>0</v>
      </c>
      <c r="AA13" s="14">
        <f t="shared" si="11"/>
        <v>0</v>
      </c>
      <c r="AB13" s="75">
        <v>0</v>
      </c>
      <c r="AC13" s="75">
        <v>0</v>
      </c>
      <c r="AD13" s="59">
        <f t="shared" si="12"/>
        <v>0</v>
      </c>
      <c r="AE13" s="73">
        <v>0</v>
      </c>
      <c r="AF13" s="73">
        <v>0</v>
      </c>
      <c r="AG13" s="15">
        <f t="shared" si="13"/>
        <v>0</v>
      </c>
      <c r="AH13" s="16">
        <f t="shared" si="14"/>
        <v>0</v>
      </c>
      <c r="AI13" s="17">
        <f t="shared" si="15"/>
        <v>108</v>
      </c>
      <c r="AJ13" s="12">
        <f>VLOOKUP(A13,'PreK Proxy - Sept. 2024'!$A$2:$I$674,9,FALSE)</f>
        <v>307</v>
      </c>
      <c r="AK13" s="18">
        <f t="shared" si="16"/>
        <v>0.3517915309446254</v>
      </c>
    </row>
    <row r="14" spans="1:37" x14ac:dyDescent="0.35">
      <c r="A14" s="11" t="s">
        <v>37</v>
      </c>
      <c r="B14" s="12" t="s">
        <v>38</v>
      </c>
      <c r="C14" s="54" t="s">
        <v>1368</v>
      </c>
      <c r="D14" s="54" t="s">
        <v>18</v>
      </c>
      <c r="E14" s="66">
        <f t="shared" si="0"/>
        <v>25</v>
      </c>
      <c r="F14" s="13">
        <f t="shared" si="1"/>
        <v>25</v>
      </c>
      <c r="G14" s="67">
        <f t="shared" si="2"/>
        <v>0</v>
      </c>
      <c r="H14" s="64">
        <f t="shared" si="3"/>
        <v>0</v>
      </c>
      <c r="I14" s="80">
        <v>0</v>
      </c>
      <c r="J14" s="80">
        <v>0</v>
      </c>
      <c r="K14" s="59">
        <f t="shared" si="4"/>
        <v>0</v>
      </c>
      <c r="L14" s="59">
        <v>0</v>
      </c>
      <c r="M14" s="59">
        <v>0</v>
      </c>
      <c r="N14" s="59">
        <f t="shared" si="5"/>
        <v>0</v>
      </c>
      <c r="O14" s="15">
        <f t="shared" si="6"/>
        <v>0</v>
      </c>
      <c r="P14" s="87">
        <f t="shared" si="7"/>
        <v>25</v>
      </c>
      <c r="Q14" s="110">
        <v>0</v>
      </c>
      <c r="R14" s="59">
        <v>25</v>
      </c>
      <c r="S14" s="14">
        <v>0</v>
      </c>
      <c r="T14" s="59">
        <v>0</v>
      </c>
      <c r="U14" s="15">
        <f t="shared" si="8"/>
        <v>0</v>
      </c>
      <c r="V14" s="14">
        <v>0</v>
      </c>
      <c r="W14" s="15">
        <f t="shared" si="9"/>
        <v>0</v>
      </c>
      <c r="X14" s="14">
        <v>0</v>
      </c>
      <c r="Y14" s="75">
        <v>0</v>
      </c>
      <c r="Z14" s="87">
        <f t="shared" si="10"/>
        <v>0</v>
      </c>
      <c r="AA14" s="14">
        <f t="shared" si="11"/>
        <v>0</v>
      </c>
      <c r="AB14" s="75">
        <v>0</v>
      </c>
      <c r="AC14" s="75">
        <v>0</v>
      </c>
      <c r="AD14" s="59">
        <f t="shared" si="12"/>
        <v>0</v>
      </c>
      <c r="AE14" s="73">
        <v>0</v>
      </c>
      <c r="AF14" s="73">
        <v>0</v>
      </c>
      <c r="AG14" s="15">
        <f t="shared" si="13"/>
        <v>0</v>
      </c>
      <c r="AH14" s="16">
        <f t="shared" si="14"/>
        <v>0</v>
      </c>
      <c r="AI14" s="17">
        <f t="shared" si="15"/>
        <v>25</v>
      </c>
      <c r="AJ14" s="12">
        <f>VLOOKUP(A14,'PreK Proxy - Sept. 2024'!$A$2:$I$674,9,FALSE)</f>
        <v>68</v>
      </c>
      <c r="AK14" s="18">
        <f t="shared" si="16"/>
        <v>0.36764705882352944</v>
      </c>
    </row>
    <row r="15" spans="1:37" x14ac:dyDescent="0.35">
      <c r="A15" s="11" t="s">
        <v>39</v>
      </c>
      <c r="B15" s="12" t="s">
        <v>40</v>
      </c>
      <c r="C15" s="54" t="s">
        <v>1368</v>
      </c>
      <c r="D15" s="54" t="s">
        <v>18</v>
      </c>
      <c r="E15" s="66">
        <f t="shared" si="0"/>
        <v>86</v>
      </c>
      <c r="F15" s="13">
        <f t="shared" si="1"/>
        <v>86</v>
      </c>
      <c r="G15" s="67">
        <f t="shared" si="2"/>
        <v>0</v>
      </c>
      <c r="H15" s="64">
        <f t="shared" si="3"/>
        <v>59</v>
      </c>
      <c r="I15" s="80">
        <v>0</v>
      </c>
      <c r="J15" s="80">
        <v>0</v>
      </c>
      <c r="K15" s="59">
        <f t="shared" si="4"/>
        <v>0</v>
      </c>
      <c r="L15" s="59">
        <v>14</v>
      </c>
      <c r="M15" s="59">
        <v>45</v>
      </c>
      <c r="N15" s="59">
        <f t="shared" si="5"/>
        <v>59</v>
      </c>
      <c r="O15" s="15">
        <f t="shared" si="6"/>
        <v>0</v>
      </c>
      <c r="P15" s="87">
        <f t="shared" si="7"/>
        <v>0</v>
      </c>
      <c r="Q15" s="110">
        <v>0</v>
      </c>
      <c r="R15" s="59">
        <v>0</v>
      </c>
      <c r="S15" s="14">
        <v>0</v>
      </c>
      <c r="T15" s="59">
        <v>0</v>
      </c>
      <c r="U15" s="15">
        <f t="shared" si="8"/>
        <v>0</v>
      </c>
      <c r="V15" s="14">
        <v>0</v>
      </c>
      <c r="W15" s="15">
        <f t="shared" si="9"/>
        <v>0</v>
      </c>
      <c r="X15" s="14">
        <v>27</v>
      </c>
      <c r="Y15" s="75">
        <v>0</v>
      </c>
      <c r="Z15" s="87">
        <f t="shared" si="10"/>
        <v>27</v>
      </c>
      <c r="AA15" s="14">
        <f t="shared" si="11"/>
        <v>0</v>
      </c>
      <c r="AB15" s="75">
        <v>0</v>
      </c>
      <c r="AC15" s="75">
        <v>0</v>
      </c>
      <c r="AD15" s="59">
        <f t="shared" si="12"/>
        <v>0</v>
      </c>
      <c r="AE15" s="73">
        <v>0</v>
      </c>
      <c r="AF15" s="73">
        <v>0</v>
      </c>
      <c r="AG15" s="15">
        <f t="shared" si="13"/>
        <v>0</v>
      </c>
      <c r="AH15" s="16">
        <f t="shared" si="14"/>
        <v>0</v>
      </c>
      <c r="AI15" s="17">
        <f t="shared" si="15"/>
        <v>72</v>
      </c>
      <c r="AJ15" s="12">
        <f>VLOOKUP(A15,'PreK Proxy - Sept. 2024'!$A$2:$I$674,9,FALSE)</f>
        <v>85</v>
      </c>
      <c r="AK15" s="18">
        <f t="shared" si="16"/>
        <v>0.84705882352941175</v>
      </c>
    </row>
    <row r="16" spans="1:37" x14ac:dyDescent="0.35">
      <c r="A16" s="11" t="s">
        <v>41</v>
      </c>
      <c r="B16" s="12" t="s">
        <v>42</v>
      </c>
      <c r="C16" s="54" t="s">
        <v>1449</v>
      </c>
      <c r="D16" s="54" t="s">
        <v>43</v>
      </c>
      <c r="E16" s="66">
        <f t="shared" si="0"/>
        <v>17</v>
      </c>
      <c r="F16" s="13">
        <f t="shared" si="1"/>
        <v>17</v>
      </c>
      <c r="G16" s="67">
        <f t="shared" si="2"/>
        <v>0</v>
      </c>
      <c r="H16" s="64">
        <f t="shared" si="3"/>
        <v>17</v>
      </c>
      <c r="I16" s="80">
        <v>0</v>
      </c>
      <c r="J16" s="80">
        <v>0</v>
      </c>
      <c r="K16" s="59">
        <f t="shared" si="4"/>
        <v>0</v>
      </c>
      <c r="L16" s="59">
        <v>0</v>
      </c>
      <c r="M16" s="59">
        <v>17</v>
      </c>
      <c r="N16" s="59">
        <f t="shared" si="5"/>
        <v>17</v>
      </c>
      <c r="O16" s="15">
        <f t="shared" si="6"/>
        <v>0</v>
      </c>
      <c r="P16" s="87">
        <f t="shared" si="7"/>
        <v>0</v>
      </c>
      <c r="Q16" s="110">
        <v>0</v>
      </c>
      <c r="R16" s="59">
        <v>0</v>
      </c>
      <c r="S16" s="14">
        <v>0</v>
      </c>
      <c r="T16" s="59">
        <v>0</v>
      </c>
      <c r="U16" s="15">
        <f t="shared" si="8"/>
        <v>0</v>
      </c>
      <c r="V16" s="14">
        <v>0</v>
      </c>
      <c r="W16" s="15">
        <f t="shared" si="9"/>
        <v>0</v>
      </c>
      <c r="X16" s="14">
        <v>0</v>
      </c>
      <c r="Y16" s="75">
        <v>0</v>
      </c>
      <c r="Z16" s="87">
        <f t="shared" si="10"/>
        <v>0</v>
      </c>
      <c r="AA16" s="14">
        <f t="shared" si="11"/>
        <v>0</v>
      </c>
      <c r="AB16" s="75">
        <v>0</v>
      </c>
      <c r="AC16" s="75">
        <v>0</v>
      </c>
      <c r="AD16" s="59">
        <f t="shared" si="12"/>
        <v>0</v>
      </c>
      <c r="AE16" s="73">
        <v>0</v>
      </c>
      <c r="AF16" s="73">
        <v>0</v>
      </c>
      <c r="AG16" s="15">
        <f t="shared" si="13"/>
        <v>0</v>
      </c>
      <c r="AH16" s="16">
        <f t="shared" si="14"/>
        <v>0</v>
      </c>
      <c r="AI16" s="17">
        <f t="shared" si="15"/>
        <v>17</v>
      </c>
      <c r="AJ16" s="12">
        <f>VLOOKUP(A16,'PreK Proxy - Sept. 2024'!$A$2:$I$674,9,FALSE)</f>
        <v>19</v>
      </c>
      <c r="AK16" s="18">
        <f t="shared" si="16"/>
        <v>0.89473684210526316</v>
      </c>
    </row>
    <row r="17" spans="1:37" x14ac:dyDescent="0.35">
      <c r="A17" s="11" t="s">
        <v>44</v>
      </c>
      <c r="B17" s="12" t="s">
        <v>45</v>
      </c>
      <c r="C17" s="54" t="s">
        <v>1449</v>
      </c>
      <c r="D17" s="54" t="s">
        <v>43</v>
      </c>
      <c r="E17" s="66">
        <f t="shared" si="0"/>
        <v>16</v>
      </c>
      <c r="F17" s="13">
        <f t="shared" si="1"/>
        <v>16</v>
      </c>
      <c r="G17" s="67">
        <f t="shared" si="2"/>
        <v>0</v>
      </c>
      <c r="H17" s="64">
        <f t="shared" si="3"/>
        <v>6</v>
      </c>
      <c r="I17" s="80">
        <v>0</v>
      </c>
      <c r="J17" s="80">
        <v>0</v>
      </c>
      <c r="K17" s="59">
        <f t="shared" si="4"/>
        <v>0</v>
      </c>
      <c r="L17" s="59">
        <v>0</v>
      </c>
      <c r="M17" s="59">
        <v>6</v>
      </c>
      <c r="N17" s="59">
        <f t="shared" si="5"/>
        <v>6</v>
      </c>
      <c r="O17" s="15">
        <f t="shared" si="6"/>
        <v>0</v>
      </c>
      <c r="P17" s="87">
        <f t="shared" si="7"/>
        <v>0</v>
      </c>
      <c r="Q17" s="110">
        <v>0</v>
      </c>
      <c r="R17" s="59">
        <v>0</v>
      </c>
      <c r="S17" s="14">
        <v>0</v>
      </c>
      <c r="T17" s="59">
        <v>0</v>
      </c>
      <c r="U17" s="15">
        <f t="shared" si="8"/>
        <v>0</v>
      </c>
      <c r="V17" s="14">
        <v>0</v>
      </c>
      <c r="W17" s="15">
        <f t="shared" si="9"/>
        <v>0</v>
      </c>
      <c r="X17" s="14">
        <v>10</v>
      </c>
      <c r="Y17" s="75">
        <v>0</v>
      </c>
      <c r="Z17" s="87">
        <f t="shared" si="10"/>
        <v>10</v>
      </c>
      <c r="AA17" s="14">
        <f t="shared" si="11"/>
        <v>0</v>
      </c>
      <c r="AB17" s="75">
        <v>0</v>
      </c>
      <c r="AC17" s="75">
        <v>0</v>
      </c>
      <c r="AD17" s="59">
        <f t="shared" si="12"/>
        <v>0</v>
      </c>
      <c r="AE17" s="73">
        <v>0</v>
      </c>
      <c r="AF17" s="73">
        <v>0</v>
      </c>
      <c r="AG17" s="15">
        <f t="shared" si="13"/>
        <v>0</v>
      </c>
      <c r="AH17" s="16">
        <f t="shared" si="14"/>
        <v>0</v>
      </c>
      <c r="AI17" s="17">
        <f t="shared" si="15"/>
        <v>16</v>
      </c>
      <c r="AJ17" s="12">
        <f>VLOOKUP(A17,'PreK Proxy - Sept. 2024'!$A$2:$I$674,9,FALSE)</f>
        <v>14</v>
      </c>
      <c r="AK17" s="18">
        <f t="shared" si="16"/>
        <v>1</v>
      </c>
    </row>
    <row r="18" spans="1:37" x14ac:dyDescent="0.35">
      <c r="A18" s="11" t="s">
        <v>46</v>
      </c>
      <c r="B18" s="12" t="s">
        <v>47</v>
      </c>
      <c r="C18" s="54" t="s">
        <v>1449</v>
      </c>
      <c r="D18" s="54" t="s">
        <v>43</v>
      </c>
      <c r="E18" s="66">
        <f t="shared" si="0"/>
        <v>54</v>
      </c>
      <c r="F18" s="13">
        <f t="shared" si="1"/>
        <v>54</v>
      </c>
      <c r="G18" s="67">
        <f t="shared" si="2"/>
        <v>0</v>
      </c>
      <c r="H18" s="64">
        <f t="shared" si="3"/>
        <v>40</v>
      </c>
      <c r="I18" s="80">
        <v>0</v>
      </c>
      <c r="J18" s="80">
        <v>0</v>
      </c>
      <c r="K18" s="59">
        <f t="shared" si="4"/>
        <v>0</v>
      </c>
      <c r="L18" s="59">
        <v>30</v>
      </c>
      <c r="M18" s="59">
        <v>10</v>
      </c>
      <c r="N18" s="59">
        <f t="shared" si="5"/>
        <v>40</v>
      </c>
      <c r="O18" s="15">
        <f t="shared" si="6"/>
        <v>0</v>
      </c>
      <c r="P18" s="87">
        <f t="shared" si="7"/>
        <v>0</v>
      </c>
      <c r="Q18" s="110">
        <v>0</v>
      </c>
      <c r="R18" s="59">
        <v>0</v>
      </c>
      <c r="S18" s="14">
        <v>0</v>
      </c>
      <c r="T18" s="59">
        <v>0</v>
      </c>
      <c r="U18" s="15">
        <f t="shared" si="8"/>
        <v>0</v>
      </c>
      <c r="V18" s="14">
        <v>0</v>
      </c>
      <c r="W18" s="15">
        <f t="shared" si="9"/>
        <v>0</v>
      </c>
      <c r="X18" s="14">
        <v>14</v>
      </c>
      <c r="Y18" s="75">
        <v>0</v>
      </c>
      <c r="Z18" s="87">
        <f t="shared" si="10"/>
        <v>14</v>
      </c>
      <c r="AA18" s="14">
        <f t="shared" si="11"/>
        <v>0</v>
      </c>
      <c r="AB18" s="75">
        <v>0</v>
      </c>
      <c r="AC18" s="75">
        <v>0</v>
      </c>
      <c r="AD18" s="59">
        <f t="shared" si="12"/>
        <v>0</v>
      </c>
      <c r="AE18" s="73">
        <v>0</v>
      </c>
      <c r="AF18" s="73">
        <v>0</v>
      </c>
      <c r="AG18" s="15">
        <f t="shared" si="13"/>
        <v>0</v>
      </c>
      <c r="AH18" s="16">
        <f t="shared" si="14"/>
        <v>0</v>
      </c>
      <c r="AI18" s="17">
        <f t="shared" si="15"/>
        <v>24</v>
      </c>
      <c r="AJ18" s="12">
        <f>VLOOKUP(A18,'PreK Proxy - Sept. 2024'!$A$2:$I$674,9,FALSE)</f>
        <v>32</v>
      </c>
      <c r="AK18" s="18">
        <f t="shared" si="16"/>
        <v>0.75</v>
      </c>
    </row>
    <row r="19" spans="1:37" x14ac:dyDescent="0.35">
      <c r="A19" s="11" t="s">
        <v>48</v>
      </c>
      <c r="B19" s="12" t="s">
        <v>49</v>
      </c>
      <c r="C19" s="54" t="s">
        <v>1449</v>
      </c>
      <c r="D19" s="54" t="s">
        <v>43</v>
      </c>
      <c r="E19" s="66">
        <f t="shared" si="0"/>
        <v>15</v>
      </c>
      <c r="F19" s="13">
        <f t="shared" si="1"/>
        <v>15</v>
      </c>
      <c r="G19" s="67">
        <f t="shared" si="2"/>
        <v>0</v>
      </c>
      <c r="H19" s="64">
        <f t="shared" si="3"/>
        <v>15</v>
      </c>
      <c r="I19" s="80">
        <v>0</v>
      </c>
      <c r="J19" s="80">
        <v>0</v>
      </c>
      <c r="K19" s="59">
        <f t="shared" si="4"/>
        <v>0</v>
      </c>
      <c r="L19" s="59">
        <v>0</v>
      </c>
      <c r="M19" s="59">
        <v>15</v>
      </c>
      <c r="N19" s="59">
        <f t="shared" si="5"/>
        <v>15</v>
      </c>
      <c r="O19" s="15">
        <f t="shared" si="6"/>
        <v>0</v>
      </c>
      <c r="P19" s="87">
        <f t="shared" si="7"/>
        <v>0</v>
      </c>
      <c r="Q19" s="110">
        <v>0</v>
      </c>
      <c r="R19" s="59">
        <v>0</v>
      </c>
      <c r="S19" s="14">
        <v>0</v>
      </c>
      <c r="T19" s="59">
        <v>0</v>
      </c>
      <c r="U19" s="15">
        <f t="shared" si="8"/>
        <v>0</v>
      </c>
      <c r="V19" s="14">
        <v>0</v>
      </c>
      <c r="W19" s="15">
        <f t="shared" si="9"/>
        <v>0</v>
      </c>
      <c r="X19" s="14">
        <v>0</v>
      </c>
      <c r="Y19" s="75">
        <v>0</v>
      </c>
      <c r="Z19" s="87">
        <f t="shared" si="10"/>
        <v>0</v>
      </c>
      <c r="AA19" s="14">
        <f t="shared" si="11"/>
        <v>0</v>
      </c>
      <c r="AB19" s="75">
        <v>0</v>
      </c>
      <c r="AC19" s="75">
        <v>0</v>
      </c>
      <c r="AD19" s="59">
        <f t="shared" si="12"/>
        <v>0</v>
      </c>
      <c r="AE19" s="73">
        <v>0</v>
      </c>
      <c r="AF19" s="73">
        <v>0</v>
      </c>
      <c r="AG19" s="15">
        <f t="shared" si="13"/>
        <v>0</v>
      </c>
      <c r="AH19" s="16">
        <f t="shared" si="14"/>
        <v>0</v>
      </c>
      <c r="AI19" s="17">
        <f t="shared" si="15"/>
        <v>15</v>
      </c>
      <c r="AJ19" s="12">
        <f>VLOOKUP(A19,'PreK Proxy - Sept. 2024'!$A$2:$I$674,9,FALSE)</f>
        <v>20</v>
      </c>
      <c r="AK19" s="18">
        <f t="shared" si="16"/>
        <v>0.75</v>
      </c>
    </row>
    <row r="20" spans="1:37" x14ac:dyDescent="0.35">
      <c r="A20" s="11" t="s">
        <v>50</v>
      </c>
      <c r="B20" s="12" t="s">
        <v>51</v>
      </c>
      <c r="C20" s="54" t="s">
        <v>1449</v>
      </c>
      <c r="D20" s="54" t="s">
        <v>43</v>
      </c>
      <c r="E20" s="66">
        <f t="shared" si="0"/>
        <v>7</v>
      </c>
      <c r="F20" s="13">
        <f t="shared" si="1"/>
        <v>7</v>
      </c>
      <c r="G20" s="67">
        <f t="shared" si="2"/>
        <v>0</v>
      </c>
      <c r="H20" s="64">
        <f t="shared" si="3"/>
        <v>7</v>
      </c>
      <c r="I20" s="80">
        <v>0</v>
      </c>
      <c r="J20" s="80">
        <v>0</v>
      </c>
      <c r="K20" s="59">
        <f t="shared" si="4"/>
        <v>0</v>
      </c>
      <c r="L20" s="59">
        <v>0</v>
      </c>
      <c r="M20" s="59">
        <v>7</v>
      </c>
      <c r="N20" s="59">
        <f t="shared" si="5"/>
        <v>7</v>
      </c>
      <c r="O20" s="15">
        <f t="shared" si="6"/>
        <v>0</v>
      </c>
      <c r="P20" s="87">
        <f t="shared" si="7"/>
        <v>0</v>
      </c>
      <c r="Q20" s="110">
        <v>0</v>
      </c>
      <c r="R20" s="59">
        <v>0</v>
      </c>
      <c r="S20" s="14">
        <v>0</v>
      </c>
      <c r="T20" s="59">
        <v>0</v>
      </c>
      <c r="U20" s="15">
        <f t="shared" si="8"/>
        <v>0</v>
      </c>
      <c r="V20" s="14">
        <v>0</v>
      </c>
      <c r="W20" s="15">
        <f t="shared" si="9"/>
        <v>0</v>
      </c>
      <c r="X20" s="14">
        <v>0</v>
      </c>
      <c r="Y20" s="75">
        <v>0</v>
      </c>
      <c r="Z20" s="87">
        <f t="shared" si="10"/>
        <v>0</v>
      </c>
      <c r="AA20" s="14">
        <f t="shared" si="11"/>
        <v>0</v>
      </c>
      <c r="AB20" s="75">
        <v>0</v>
      </c>
      <c r="AC20" s="75">
        <v>0</v>
      </c>
      <c r="AD20" s="59">
        <f t="shared" si="12"/>
        <v>0</v>
      </c>
      <c r="AE20" s="73">
        <v>0</v>
      </c>
      <c r="AF20" s="73">
        <v>0</v>
      </c>
      <c r="AG20" s="15">
        <f t="shared" si="13"/>
        <v>0</v>
      </c>
      <c r="AH20" s="16">
        <f t="shared" si="14"/>
        <v>0</v>
      </c>
      <c r="AI20" s="17">
        <f t="shared" si="15"/>
        <v>7</v>
      </c>
      <c r="AJ20" s="12">
        <f>VLOOKUP(A20,'PreK Proxy - Sept. 2024'!$A$2:$I$674,9,FALSE)</f>
        <v>10</v>
      </c>
      <c r="AK20" s="18">
        <f t="shared" si="16"/>
        <v>0.7</v>
      </c>
    </row>
    <row r="21" spans="1:37" x14ac:dyDescent="0.35">
      <c r="A21" s="11" t="s">
        <v>52</v>
      </c>
      <c r="B21" s="12" t="s">
        <v>53</v>
      </c>
      <c r="C21" s="54" t="s">
        <v>1449</v>
      </c>
      <c r="D21" s="54" t="s">
        <v>43</v>
      </c>
      <c r="E21" s="66">
        <f t="shared" si="0"/>
        <v>13</v>
      </c>
      <c r="F21" s="13">
        <f t="shared" si="1"/>
        <v>13</v>
      </c>
      <c r="G21" s="67">
        <f t="shared" si="2"/>
        <v>0</v>
      </c>
      <c r="H21" s="64">
        <f t="shared" si="3"/>
        <v>13</v>
      </c>
      <c r="I21" s="80">
        <v>0</v>
      </c>
      <c r="J21" s="80">
        <v>0</v>
      </c>
      <c r="K21" s="59">
        <f t="shared" si="4"/>
        <v>0</v>
      </c>
      <c r="L21" s="59">
        <v>0</v>
      </c>
      <c r="M21" s="59">
        <v>13</v>
      </c>
      <c r="N21" s="59">
        <f t="shared" si="5"/>
        <v>13</v>
      </c>
      <c r="O21" s="15">
        <f t="shared" si="6"/>
        <v>0</v>
      </c>
      <c r="P21" s="87">
        <f t="shared" si="7"/>
        <v>0</v>
      </c>
      <c r="Q21" s="110">
        <v>0</v>
      </c>
      <c r="R21" s="59">
        <v>0</v>
      </c>
      <c r="S21" s="14">
        <v>0</v>
      </c>
      <c r="T21" s="59">
        <v>0</v>
      </c>
      <c r="U21" s="15">
        <f t="shared" si="8"/>
        <v>0</v>
      </c>
      <c r="V21" s="14">
        <v>0</v>
      </c>
      <c r="W21" s="15">
        <f t="shared" si="9"/>
        <v>0</v>
      </c>
      <c r="X21" s="14">
        <v>0</v>
      </c>
      <c r="Y21" s="75">
        <v>0</v>
      </c>
      <c r="Z21" s="87">
        <f t="shared" si="10"/>
        <v>0</v>
      </c>
      <c r="AA21" s="14">
        <f t="shared" si="11"/>
        <v>0</v>
      </c>
      <c r="AB21" s="75">
        <v>0</v>
      </c>
      <c r="AC21" s="75">
        <v>0</v>
      </c>
      <c r="AD21" s="59">
        <f t="shared" si="12"/>
        <v>0</v>
      </c>
      <c r="AE21" s="73">
        <v>0</v>
      </c>
      <c r="AF21" s="73">
        <v>0</v>
      </c>
      <c r="AG21" s="15">
        <f t="shared" si="13"/>
        <v>0</v>
      </c>
      <c r="AH21" s="16">
        <f t="shared" si="14"/>
        <v>0</v>
      </c>
      <c r="AI21" s="17">
        <f t="shared" si="15"/>
        <v>13</v>
      </c>
      <c r="AJ21" s="12">
        <f>VLOOKUP(A21,'PreK Proxy - Sept. 2024'!$A$2:$I$674,9,FALSE)</f>
        <v>17</v>
      </c>
      <c r="AK21" s="18">
        <f t="shared" si="16"/>
        <v>0.76470588235294112</v>
      </c>
    </row>
    <row r="22" spans="1:37" x14ac:dyDescent="0.35">
      <c r="A22" s="11" t="s">
        <v>54</v>
      </c>
      <c r="B22" s="12" t="s">
        <v>55</v>
      </c>
      <c r="C22" s="54" t="s">
        <v>1449</v>
      </c>
      <c r="D22" s="54" t="s">
        <v>43</v>
      </c>
      <c r="E22" s="66">
        <f t="shared" si="0"/>
        <v>45</v>
      </c>
      <c r="F22" s="13">
        <f t="shared" si="1"/>
        <v>0</v>
      </c>
      <c r="G22" s="67">
        <f t="shared" si="2"/>
        <v>45</v>
      </c>
      <c r="H22" s="64">
        <f t="shared" si="3"/>
        <v>45</v>
      </c>
      <c r="I22" s="80">
        <v>18</v>
      </c>
      <c r="J22" s="80">
        <v>27</v>
      </c>
      <c r="K22" s="59">
        <f t="shared" si="4"/>
        <v>45</v>
      </c>
      <c r="L22" s="59">
        <v>0</v>
      </c>
      <c r="M22" s="59">
        <v>0</v>
      </c>
      <c r="N22" s="59">
        <f t="shared" si="5"/>
        <v>0</v>
      </c>
      <c r="O22" s="15">
        <f t="shared" si="6"/>
        <v>0</v>
      </c>
      <c r="P22" s="87">
        <f t="shared" si="7"/>
        <v>0</v>
      </c>
      <c r="Q22" s="110">
        <v>0</v>
      </c>
      <c r="R22" s="59">
        <v>0</v>
      </c>
      <c r="S22" s="14">
        <v>0</v>
      </c>
      <c r="T22" s="59">
        <v>0</v>
      </c>
      <c r="U22" s="15">
        <f t="shared" si="8"/>
        <v>0</v>
      </c>
      <c r="V22" s="14">
        <v>0</v>
      </c>
      <c r="W22" s="15">
        <f t="shared" si="9"/>
        <v>0</v>
      </c>
      <c r="X22" s="14">
        <v>0</v>
      </c>
      <c r="Y22" s="75">
        <v>0</v>
      </c>
      <c r="Z22" s="87">
        <f t="shared" si="10"/>
        <v>0</v>
      </c>
      <c r="AA22" s="14">
        <f t="shared" si="11"/>
        <v>0</v>
      </c>
      <c r="AB22" s="75">
        <v>0</v>
      </c>
      <c r="AC22" s="75">
        <v>0</v>
      </c>
      <c r="AD22" s="59">
        <f t="shared" si="12"/>
        <v>0</v>
      </c>
      <c r="AE22" s="73">
        <v>0</v>
      </c>
      <c r="AF22" s="73">
        <v>0</v>
      </c>
      <c r="AG22" s="15">
        <f t="shared" si="13"/>
        <v>0</v>
      </c>
      <c r="AH22" s="16">
        <f t="shared" si="14"/>
        <v>27</v>
      </c>
      <c r="AI22" s="17">
        <f t="shared" si="15"/>
        <v>0</v>
      </c>
      <c r="AJ22" s="12">
        <f>VLOOKUP(A22,'PreK Proxy - Sept. 2024'!$A$2:$I$674,9,FALSE)</f>
        <v>32</v>
      </c>
      <c r="AK22" s="18">
        <f t="shared" si="16"/>
        <v>0.84375</v>
      </c>
    </row>
    <row r="23" spans="1:37" x14ac:dyDescent="0.35">
      <c r="A23" s="11" t="s">
        <v>56</v>
      </c>
      <c r="B23" s="12" t="s">
        <v>57</v>
      </c>
      <c r="C23" s="54" t="s">
        <v>1449</v>
      </c>
      <c r="D23" s="54" t="s">
        <v>43</v>
      </c>
      <c r="E23" s="66">
        <f t="shared" si="0"/>
        <v>11</v>
      </c>
      <c r="F23" s="13">
        <f t="shared" si="1"/>
        <v>0</v>
      </c>
      <c r="G23" s="67">
        <f t="shared" si="2"/>
        <v>11</v>
      </c>
      <c r="H23" s="64">
        <f t="shared" si="3"/>
        <v>11</v>
      </c>
      <c r="I23" s="80">
        <v>0</v>
      </c>
      <c r="J23" s="80">
        <v>11</v>
      </c>
      <c r="K23" s="59">
        <f t="shared" si="4"/>
        <v>11</v>
      </c>
      <c r="L23" s="59">
        <v>0</v>
      </c>
      <c r="M23" s="59">
        <v>0</v>
      </c>
      <c r="N23" s="59">
        <f t="shared" si="5"/>
        <v>0</v>
      </c>
      <c r="O23" s="15">
        <f t="shared" si="6"/>
        <v>0</v>
      </c>
      <c r="P23" s="87">
        <f t="shared" si="7"/>
        <v>0</v>
      </c>
      <c r="Q23" s="110">
        <v>0</v>
      </c>
      <c r="R23" s="59">
        <v>0</v>
      </c>
      <c r="S23" s="14">
        <v>0</v>
      </c>
      <c r="T23" s="59">
        <v>0</v>
      </c>
      <c r="U23" s="15">
        <f t="shared" si="8"/>
        <v>0</v>
      </c>
      <c r="V23" s="14">
        <v>0</v>
      </c>
      <c r="W23" s="15">
        <f t="shared" si="9"/>
        <v>0</v>
      </c>
      <c r="X23" s="14">
        <v>0</v>
      </c>
      <c r="Y23" s="75">
        <v>0</v>
      </c>
      <c r="Z23" s="87">
        <f t="shared" si="10"/>
        <v>0</v>
      </c>
      <c r="AA23" s="14">
        <f t="shared" si="11"/>
        <v>0</v>
      </c>
      <c r="AB23" s="75">
        <v>0</v>
      </c>
      <c r="AC23" s="75">
        <v>0</v>
      </c>
      <c r="AD23" s="59">
        <f t="shared" si="12"/>
        <v>0</v>
      </c>
      <c r="AE23" s="73">
        <v>0</v>
      </c>
      <c r="AF23" s="73">
        <v>0</v>
      </c>
      <c r="AG23" s="15">
        <f t="shared" si="13"/>
        <v>0</v>
      </c>
      <c r="AH23" s="16">
        <f t="shared" si="14"/>
        <v>11</v>
      </c>
      <c r="AI23" s="17">
        <f t="shared" si="15"/>
        <v>0</v>
      </c>
      <c r="AJ23" s="12">
        <f>VLOOKUP(A23,'PreK Proxy - Sept. 2024'!$A$2:$I$674,9,FALSE)</f>
        <v>8</v>
      </c>
      <c r="AK23" s="18">
        <f t="shared" si="16"/>
        <v>1</v>
      </c>
    </row>
    <row r="24" spans="1:37" x14ac:dyDescent="0.35">
      <c r="A24" s="11" t="s">
        <v>58</v>
      </c>
      <c r="B24" s="12" t="s">
        <v>59</v>
      </c>
      <c r="C24" s="54" t="s">
        <v>1449</v>
      </c>
      <c r="D24" s="54" t="s">
        <v>43</v>
      </c>
      <c r="E24" s="66">
        <f t="shared" si="0"/>
        <v>32</v>
      </c>
      <c r="F24" s="13">
        <f t="shared" si="1"/>
        <v>0</v>
      </c>
      <c r="G24" s="67">
        <f t="shared" si="2"/>
        <v>32</v>
      </c>
      <c r="H24" s="64">
        <f t="shared" si="3"/>
        <v>32</v>
      </c>
      <c r="I24" s="80">
        <v>0</v>
      </c>
      <c r="J24" s="80">
        <v>32</v>
      </c>
      <c r="K24" s="59">
        <f t="shared" si="4"/>
        <v>32</v>
      </c>
      <c r="L24" s="59">
        <v>0</v>
      </c>
      <c r="M24" s="59">
        <v>0</v>
      </c>
      <c r="N24" s="59">
        <f t="shared" si="5"/>
        <v>0</v>
      </c>
      <c r="O24" s="15">
        <f t="shared" si="6"/>
        <v>0</v>
      </c>
      <c r="P24" s="87">
        <f t="shared" si="7"/>
        <v>0</v>
      </c>
      <c r="Q24" s="110">
        <v>0</v>
      </c>
      <c r="R24" s="59">
        <v>0</v>
      </c>
      <c r="S24" s="14">
        <v>0</v>
      </c>
      <c r="T24" s="59">
        <v>0</v>
      </c>
      <c r="U24" s="15">
        <f t="shared" si="8"/>
        <v>0</v>
      </c>
      <c r="V24" s="14">
        <v>0</v>
      </c>
      <c r="W24" s="15">
        <f t="shared" si="9"/>
        <v>0</v>
      </c>
      <c r="X24" s="14">
        <v>0</v>
      </c>
      <c r="Y24" s="75">
        <v>0</v>
      </c>
      <c r="Z24" s="87">
        <f t="shared" si="10"/>
        <v>0</v>
      </c>
      <c r="AA24" s="14">
        <f t="shared" si="11"/>
        <v>0</v>
      </c>
      <c r="AB24" s="75">
        <v>0</v>
      </c>
      <c r="AC24" s="75">
        <v>0</v>
      </c>
      <c r="AD24" s="59">
        <f t="shared" si="12"/>
        <v>0</v>
      </c>
      <c r="AE24" s="73">
        <v>0</v>
      </c>
      <c r="AF24" s="73">
        <v>0</v>
      </c>
      <c r="AG24" s="15">
        <f t="shared" si="13"/>
        <v>0</v>
      </c>
      <c r="AH24" s="16">
        <f t="shared" si="14"/>
        <v>32</v>
      </c>
      <c r="AI24" s="17">
        <f t="shared" si="15"/>
        <v>0</v>
      </c>
      <c r="AJ24" s="12">
        <f>VLOOKUP(A24,'PreK Proxy - Sept. 2024'!$A$2:$I$674,9,FALSE)</f>
        <v>39</v>
      </c>
      <c r="AK24" s="18">
        <f t="shared" si="16"/>
        <v>0.82051282051282048</v>
      </c>
    </row>
    <row r="25" spans="1:37" x14ac:dyDescent="0.35">
      <c r="A25" s="11" t="s">
        <v>60</v>
      </c>
      <c r="B25" s="12" t="s">
        <v>61</v>
      </c>
      <c r="C25" s="54" t="s">
        <v>1449</v>
      </c>
      <c r="D25" s="54" t="s">
        <v>43</v>
      </c>
      <c r="E25" s="66">
        <f t="shared" si="0"/>
        <v>16</v>
      </c>
      <c r="F25" s="13">
        <f t="shared" si="1"/>
        <v>16</v>
      </c>
      <c r="G25" s="67">
        <f t="shared" si="2"/>
        <v>0</v>
      </c>
      <c r="H25" s="64">
        <f t="shared" si="3"/>
        <v>16</v>
      </c>
      <c r="I25" s="80">
        <v>0</v>
      </c>
      <c r="J25" s="80">
        <v>0</v>
      </c>
      <c r="K25" s="59">
        <f t="shared" si="4"/>
        <v>0</v>
      </c>
      <c r="L25" s="59">
        <v>0</v>
      </c>
      <c r="M25" s="59">
        <v>16</v>
      </c>
      <c r="N25" s="59">
        <f t="shared" si="5"/>
        <v>16</v>
      </c>
      <c r="O25" s="15">
        <f t="shared" si="6"/>
        <v>0</v>
      </c>
      <c r="P25" s="87">
        <f t="shared" si="7"/>
        <v>0</v>
      </c>
      <c r="Q25" s="110">
        <v>0</v>
      </c>
      <c r="R25" s="59">
        <v>0</v>
      </c>
      <c r="S25" s="14">
        <v>0</v>
      </c>
      <c r="T25" s="59">
        <v>0</v>
      </c>
      <c r="U25" s="15">
        <f t="shared" si="8"/>
        <v>0</v>
      </c>
      <c r="V25" s="14">
        <v>0</v>
      </c>
      <c r="W25" s="15">
        <f t="shared" si="9"/>
        <v>0</v>
      </c>
      <c r="X25" s="14">
        <v>0</v>
      </c>
      <c r="Y25" s="75">
        <v>0</v>
      </c>
      <c r="Z25" s="87">
        <f t="shared" si="10"/>
        <v>0</v>
      </c>
      <c r="AA25" s="14">
        <f t="shared" si="11"/>
        <v>0</v>
      </c>
      <c r="AB25" s="75">
        <v>0</v>
      </c>
      <c r="AC25" s="75">
        <v>0</v>
      </c>
      <c r="AD25" s="59">
        <f t="shared" si="12"/>
        <v>0</v>
      </c>
      <c r="AE25" s="73">
        <v>0</v>
      </c>
      <c r="AF25" s="73">
        <v>0</v>
      </c>
      <c r="AG25" s="15">
        <f t="shared" si="13"/>
        <v>0</v>
      </c>
      <c r="AH25" s="16">
        <f t="shared" si="14"/>
        <v>0</v>
      </c>
      <c r="AI25" s="17">
        <f t="shared" si="15"/>
        <v>16</v>
      </c>
      <c r="AJ25" s="12">
        <f>VLOOKUP(A25,'PreK Proxy - Sept. 2024'!$A$2:$I$674,9,FALSE)</f>
        <v>19</v>
      </c>
      <c r="AK25" s="18">
        <f t="shared" si="16"/>
        <v>0.84210526315789469</v>
      </c>
    </row>
    <row r="26" spans="1:37" x14ac:dyDescent="0.35">
      <c r="A26" s="11" t="s">
        <v>62</v>
      </c>
      <c r="B26" s="12" t="s">
        <v>63</v>
      </c>
      <c r="C26" s="54" t="s">
        <v>1449</v>
      </c>
      <c r="D26" s="54" t="s">
        <v>43</v>
      </c>
      <c r="E26" s="66">
        <f t="shared" si="0"/>
        <v>54</v>
      </c>
      <c r="F26" s="13">
        <f t="shared" si="1"/>
        <v>54</v>
      </c>
      <c r="G26" s="67">
        <f t="shared" si="2"/>
        <v>0</v>
      </c>
      <c r="H26" s="64">
        <f t="shared" si="3"/>
        <v>54</v>
      </c>
      <c r="I26" s="80">
        <v>0</v>
      </c>
      <c r="J26" s="80">
        <v>0</v>
      </c>
      <c r="K26" s="59">
        <f t="shared" si="4"/>
        <v>0</v>
      </c>
      <c r="L26" s="59">
        <v>0</v>
      </c>
      <c r="M26" s="59">
        <v>54</v>
      </c>
      <c r="N26" s="59">
        <f t="shared" si="5"/>
        <v>54</v>
      </c>
      <c r="O26" s="15">
        <f t="shared" si="6"/>
        <v>0</v>
      </c>
      <c r="P26" s="87">
        <f t="shared" si="7"/>
        <v>0</v>
      </c>
      <c r="Q26" s="110">
        <v>0</v>
      </c>
      <c r="R26" s="59">
        <v>0</v>
      </c>
      <c r="S26" s="14">
        <v>0</v>
      </c>
      <c r="T26" s="59">
        <v>0</v>
      </c>
      <c r="U26" s="15">
        <f t="shared" si="8"/>
        <v>0</v>
      </c>
      <c r="V26" s="14">
        <v>0</v>
      </c>
      <c r="W26" s="15">
        <f t="shared" si="9"/>
        <v>0</v>
      </c>
      <c r="X26" s="14">
        <v>0</v>
      </c>
      <c r="Y26" s="75">
        <v>0</v>
      </c>
      <c r="Z26" s="87">
        <f t="shared" si="10"/>
        <v>0</v>
      </c>
      <c r="AA26" s="14">
        <f t="shared" si="11"/>
        <v>0</v>
      </c>
      <c r="AB26" s="75">
        <v>0</v>
      </c>
      <c r="AC26" s="75">
        <v>0</v>
      </c>
      <c r="AD26" s="59">
        <f t="shared" si="12"/>
        <v>0</v>
      </c>
      <c r="AE26" s="73">
        <v>0</v>
      </c>
      <c r="AF26" s="73">
        <v>0</v>
      </c>
      <c r="AG26" s="15">
        <f t="shared" si="13"/>
        <v>0</v>
      </c>
      <c r="AH26" s="16">
        <f t="shared" si="14"/>
        <v>0</v>
      </c>
      <c r="AI26" s="17">
        <f t="shared" si="15"/>
        <v>54</v>
      </c>
      <c r="AJ26" s="12">
        <f>VLOOKUP(A26,'PreK Proxy - Sept. 2024'!$A$2:$I$674,9,FALSE)</f>
        <v>54</v>
      </c>
      <c r="AK26" s="18">
        <f t="shared" si="16"/>
        <v>1</v>
      </c>
    </row>
    <row r="27" spans="1:37" x14ac:dyDescent="0.35">
      <c r="A27" s="11" t="s">
        <v>64</v>
      </c>
      <c r="B27" s="12" t="s">
        <v>65</v>
      </c>
      <c r="C27" s="54" t="s">
        <v>1449</v>
      </c>
      <c r="D27" s="54" t="s">
        <v>43</v>
      </c>
      <c r="E27" s="66">
        <f t="shared" si="0"/>
        <v>29</v>
      </c>
      <c r="F27" s="13">
        <f t="shared" si="1"/>
        <v>13</v>
      </c>
      <c r="G27" s="67">
        <f t="shared" si="2"/>
        <v>16</v>
      </c>
      <c r="H27" s="64">
        <f t="shared" si="3"/>
        <v>29</v>
      </c>
      <c r="I27" s="80">
        <v>11</v>
      </c>
      <c r="J27" s="80">
        <v>5</v>
      </c>
      <c r="K27" s="59">
        <f t="shared" si="4"/>
        <v>16</v>
      </c>
      <c r="L27" s="59">
        <v>0</v>
      </c>
      <c r="M27" s="59">
        <v>13</v>
      </c>
      <c r="N27" s="59">
        <f t="shared" si="5"/>
        <v>13</v>
      </c>
      <c r="O27" s="15">
        <f t="shared" si="6"/>
        <v>0</v>
      </c>
      <c r="P27" s="87">
        <f t="shared" si="7"/>
        <v>0</v>
      </c>
      <c r="Q27" s="110">
        <v>0</v>
      </c>
      <c r="R27" s="59">
        <v>0</v>
      </c>
      <c r="S27" s="14">
        <v>0</v>
      </c>
      <c r="T27" s="59">
        <v>0</v>
      </c>
      <c r="U27" s="15">
        <f t="shared" si="8"/>
        <v>0</v>
      </c>
      <c r="V27" s="14">
        <v>0</v>
      </c>
      <c r="W27" s="15">
        <f t="shared" si="9"/>
        <v>0</v>
      </c>
      <c r="X27" s="14">
        <v>0</v>
      </c>
      <c r="Y27" s="75">
        <v>0</v>
      </c>
      <c r="Z27" s="87">
        <f t="shared" si="10"/>
        <v>0</v>
      </c>
      <c r="AA27" s="14">
        <f t="shared" si="11"/>
        <v>0</v>
      </c>
      <c r="AB27" s="75">
        <v>0</v>
      </c>
      <c r="AC27" s="75">
        <v>0</v>
      </c>
      <c r="AD27" s="59">
        <f t="shared" si="12"/>
        <v>0</v>
      </c>
      <c r="AE27" s="73">
        <v>0</v>
      </c>
      <c r="AF27" s="73">
        <v>0</v>
      </c>
      <c r="AG27" s="15">
        <f t="shared" si="13"/>
        <v>0</v>
      </c>
      <c r="AH27" s="16">
        <f t="shared" si="14"/>
        <v>5</v>
      </c>
      <c r="AI27" s="17">
        <f t="shared" si="15"/>
        <v>13</v>
      </c>
      <c r="AJ27" s="12">
        <f>VLOOKUP(A27,'PreK Proxy - Sept. 2024'!$A$2:$I$674,9,FALSE)</f>
        <v>48</v>
      </c>
      <c r="AK27" s="18">
        <f t="shared" si="16"/>
        <v>0.375</v>
      </c>
    </row>
    <row r="28" spans="1:37" x14ac:dyDescent="0.35">
      <c r="A28" s="11" t="s">
        <v>66</v>
      </c>
      <c r="B28" s="12" t="s">
        <v>67</v>
      </c>
      <c r="C28" s="54" t="s">
        <v>1442</v>
      </c>
      <c r="D28" s="54" t="s">
        <v>68</v>
      </c>
      <c r="E28" s="66">
        <f t="shared" si="0"/>
        <v>54</v>
      </c>
      <c r="F28" s="13">
        <f t="shared" si="1"/>
        <v>54</v>
      </c>
      <c r="G28" s="67">
        <f t="shared" si="2"/>
        <v>0</v>
      </c>
      <c r="H28" s="64">
        <f t="shared" si="3"/>
        <v>54</v>
      </c>
      <c r="I28" s="80">
        <v>0</v>
      </c>
      <c r="J28" s="80">
        <v>0</v>
      </c>
      <c r="K28" s="59">
        <f t="shared" si="4"/>
        <v>0</v>
      </c>
      <c r="L28" s="59">
        <v>0</v>
      </c>
      <c r="M28" s="59">
        <v>54</v>
      </c>
      <c r="N28" s="59">
        <f t="shared" si="5"/>
        <v>54</v>
      </c>
      <c r="O28" s="15">
        <f t="shared" si="6"/>
        <v>0</v>
      </c>
      <c r="P28" s="87">
        <f t="shared" si="7"/>
        <v>0</v>
      </c>
      <c r="Q28" s="110">
        <v>0</v>
      </c>
      <c r="R28" s="59">
        <v>0</v>
      </c>
      <c r="S28" s="14">
        <v>0</v>
      </c>
      <c r="T28" s="59">
        <v>0</v>
      </c>
      <c r="U28" s="15">
        <f t="shared" si="8"/>
        <v>0</v>
      </c>
      <c r="V28" s="14">
        <v>0</v>
      </c>
      <c r="W28" s="15">
        <f t="shared" si="9"/>
        <v>0</v>
      </c>
      <c r="X28" s="14">
        <v>0</v>
      </c>
      <c r="Y28" s="75">
        <v>0</v>
      </c>
      <c r="Z28" s="87">
        <f t="shared" si="10"/>
        <v>0</v>
      </c>
      <c r="AA28" s="14">
        <f t="shared" si="11"/>
        <v>0</v>
      </c>
      <c r="AB28" s="75">
        <v>0</v>
      </c>
      <c r="AC28" s="75">
        <v>0</v>
      </c>
      <c r="AD28" s="59">
        <f t="shared" si="12"/>
        <v>0</v>
      </c>
      <c r="AE28" s="73">
        <v>0</v>
      </c>
      <c r="AF28" s="73">
        <v>0</v>
      </c>
      <c r="AG28" s="15">
        <f t="shared" si="13"/>
        <v>0</v>
      </c>
      <c r="AH28" s="16">
        <f t="shared" si="14"/>
        <v>0</v>
      </c>
      <c r="AI28" s="17">
        <f t="shared" si="15"/>
        <v>54</v>
      </c>
      <c r="AJ28" s="12">
        <f>VLOOKUP(A28,'PreK Proxy - Sept. 2024'!$A$2:$I$674,9,FALSE)</f>
        <v>68</v>
      </c>
      <c r="AK28" s="18">
        <f t="shared" si="16"/>
        <v>0.79411764705882348</v>
      </c>
    </row>
    <row r="29" spans="1:37" x14ac:dyDescent="0.35">
      <c r="A29" s="11" t="s">
        <v>69</v>
      </c>
      <c r="B29" s="12" t="s">
        <v>70</v>
      </c>
      <c r="C29" s="54" t="s">
        <v>1442</v>
      </c>
      <c r="D29" s="54" t="s">
        <v>68</v>
      </c>
      <c r="E29" s="66">
        <f t="shared" si="0"/>
        <v>324</v>
      </c>
      <c r="F29" s="13">
        <f t="shared" si="1"/>
        <v>172</v>
      </c>
      <c r="G29" s="67">
        <f t="shared" si="2"/>
        <v>152</v>
      </c>
      <c r="H29" s="64">
        <f t="shared" si="3"/>
        <v>324</v>
      </c>
      <c r="I29" s="80">
        <v>70</v>
      </c>
      <c r="J29" s="80">
        <v>82</v>
      </c>
      <c r="K29" s="59">
        <f t="shared" si="4"/>
        <v>152</v>
      </c>
      <c r="L29" s="59">
        <v>16</v>
      </c>
      <c r="M29" s="59">
        <v>156</v>
      </c>
      <c r="N29" s="59">
        <f t="shared" si="5"/>
        <v>172</v>
      </c>
      <c r="O29" s="15">
        <f t="shared" si="6"/>
        <v>0</v>
      </c>
      <c r="P29" s="87">
        <f t="shared" si="7"/>
        <v>0</v>
      </c>
      <c r="Q29" s="110">
        <v>0</v>
      </c>
      <c r="R29" s="59">
        <v>0</v>
      </c>
      <c r="S29" s="14">
        <v>0</v>
      </c>
      <c r="T29" s="59">
        <v>0</v>
      </c>
      <c r="U29" s="15">
        <f t="shared" si="8"/>
        <v>0</v>
      </c>
      <c r="V29" s="14">
        <v>0</v>
      </c>
      <c r="W29" s="15">
        <f t="shared" si="9"/>
        <v>0</v>
      </c>
      <c r="X29" s="14">
        <v>0</v>
      </c>
      <c r="Y29" s="75">
        <v>0</v>
      </c>
      <c r="Z29" s="87">
        <f t="shared" si="10"/>
        <v>0</v>
      </c>
      <c r="AA29" s="14">
        <f t="shared" si="11"/>
        <v>0</v>
      </c>
      <c r="AB29" s="75">
        <v>0</v>
      </c>
      <c r="AC29" s="75">
        <v>0</v>
      </c>
      <c r="AD29" s="59">
        <f t="shared" si="12"/>
        <v>0</v>
      </c>
      <c r="AE29" s="73">
        <v>0</v>
      </c>
      <c r="AF29" s="73">
        <v>0</v>
      </c>
      <c r="AG29" s="15">
        <f t="shared" si="13"/>
        <v>0</v>
      </c>
      <c r="AH29" s="16">
        <f t="shared" si="14"/>
        <v>82</v>
      </c>
      <c r="AI29" s="17">
        <f t="shared" si="15"/>
        <v>156</v>
      </c>
      <c r="AJ29" s="12">
        <f>VLOOKUP(A29,'PreK Proxy - Sept. 2024'!$A$2:$I$674,9,FALSE)</f>
        <v>383</v>
      </c>
      <c r="AK29" s="18">
        <f t="shared" si="16"/>
        <v>0.62140992167101827</v>
      </c>
    </row>
    <row r="30" spans="1:37" x14ac:dyDescent="0.35">
      <c r="A30" s="11" t="s">
        <v>71</v>
      </c>
      <c r="B30" s="12" t="s">
        <v>72</v>
      </c>
      <c r="C30" s="54" t="s">
        <v>1442</v>
      </c>
      <c r="D30" s="54" t="s">
        <v>68</v>
      </c>
      <c r="E30" s="66">
        <f t="shared" si="0"/>
        <v>22</v>
      </c>
      <c r="F30" s="13">
        <f t="shared" si="1"/>
        <v>22</v>
      </c>
      <c r="G30" s="67">
        <f t="shared" si="2"/>
        <v>0</v>
      </c>
      <c r="H30" s="64">
        <f t="shared" si="3"/>
        <v>22</v>
      </c>
      <c r="I30" s="80">
        <v>0</v>
      </c>
      <c r="J30" s="80">
        <v>0</v>
      </c>
      <c r="K30" s="59">
        <f t="shared" si="4"/>
        <v>0</v>
      </c>
      <c r="L30" s="59">
        <v>0</v>
      </c>
      <c r="M30" s="59">
        <v>22</v>
      </c>
      <c r="N30" s="59">
        <f t="shared" si="5"/>
        <v>22</v>
      </c>
      <c r="O30" s="15">
        <f t="shared" si="6"/>
        <v>0</v>
      </c>
      <c r="P30" s="87">
        <f t="shared" si="7"/>
        <v>0</v>
      </c>
      <c r="Q30" s="110">
        <v>0</v>
      </c>
      <c r="R30" s="59">
        <v>0</v>
      </c>
      <c r="S30" s="14">
        <v>0</v>
      </c>
      <c r="T30" s="59">
        <v>0</v>
      </c>
      <c r="U30" s="15">
        <f t="shared" si="8"/>
        <v>0</v>
      </c>
      <c r="V30" s="14">
        <v>0</v>
      </c>
      <c r="W30" s="15">
        <f t="shared" si="9"/>
        <v>0</v>
      </c>
      <c r="X30" s="14">
        <v>0</v>
      </c>
      <c r="Y30" s="75">
        <v>0</v>
      </c>
      <c r="Z30" s="87">
        <f t="shared" si="10"/>
        <v>0</v>
      </c>
      <c r="AA30" s="14">
        <f t="shared" si="11"/>
        <v>0</v>
      </c>
      <c r="AB30" s="75">
        <v>0</v>
      </c>
      <c r="AC30" s="75">
        <v>0</v>
      </c>
      <c r="AD30" s="59">
        <f t="shared" si="12"/>
        <v>0</v>
      </c>
      <c r="AE30" s="73">
        <v>0</v>
      </c>
      <c r="AF30" s="73">
        <v>0</v>
      </c>
      <c r="AG30" s="15">
        <f t="shared" si="13"/>
        <v>0</v>
      </c>
      <c r="AH30" s="16">
        <f t="shared" si="14"/>
        <v>0</v>
      </c>
      <c r="AI30" s="17">
        <f t="shared" si="15"/>
        <v>22</v>
      </c>
      <c r="AJ30" s="12">
        <f>VLOOKUP(A30,'PreK Proxy - Sept. 2024'!$A$2:$I$674,9,FALSE)</f>
        <v>32</v>
      </c>
      <c r="AK30" s="18">
        <f t="shared" si="16"/>
        <v>0.6875</v>
      </c>
    </row>
    <row r="31" spans="1:37" x14ac:dyDescent="0.35">
      <c r="A31" s="11" t="s">
        <v>73</v>
      </c>
      <c r="B31" s="12" t="s">
        <v>74</v>
      </c>
      <c r="C31" s="54" t="s">
        <v>1442</v>
      </c>
      <c r="D31" s="54" t="s">
        <v>68</v>
      </c>
      <c r="E31" s="66">
        <f t="shared" si="0"/>
        <v>72</v>
      </c>
      <c r="F31" s="13">
        <f t="shared" si="1"/>
        <v>72</v>
      </c>
      <c r="G31" s="67">
        <f t="shared" si="2"/>
        <v>0</v>
      </c>
      <c r="H31" s="64">
        <f t="shared" si="3"/>
        <v>36</v>
      </c>
      <c r="I31" s="80">
        <v>0</v>
      </c>
      <c r="J31" s="80">
        <v>0</v>
      </c>
      <c r="K31" s="59">
        <f t="shared" si="4"/>
        <v>0</v>
      </c>
      <c r="L31" s="59">
        <v>0</v>
      </c>
      <c r="M31" s="59">
        <v>36</v>
      </c>
      <c r="N31" s="59">
        <f t="shared" si="5"/>
        <v>36</v>
      </c>
      <c r="O31" s="15">
        <f t="shared" si="6"/>
        <v>0</v>
      </c>
      <c r="P31" s="87">
        <f t="shared" si="7"/>
        <v>36</v>
      </c>
      <c r="Q31" s="110">
        <v>0</v>
      </c>
      <c r="R31" s="59">
        <v>36</v>
      </c>
      <c r="S31" s="14">
        <v>0</v>
      </c>
      <c r="T31" s="59">
        <v>0</v>
      </c>
      <c r="U31" s="15">
        <f t="shared" si="8"/>
        <v>0</v>
      </c>
      <c r="V31" s="14">
        <v>0</v>
      </c>
      <c r="W31" s="15">
        <f t="shared" si="9"/>
        <v>0</v>
      </c>
      <c r="X31" s="14">
        <v>0</v>
      </c>
      <c r="Y31" s="75">
        <v>0</v>
      </c>
      <c r="Z31" s="87">
        <f t="shared" si="10"/>
        <v>0</v>
      </c>
      <c r="AA31" s="14">
        <f t="shared" si="11"/>
        <v>0</v>
      </c>
      <c r="AB31" s="75">
        <v>0</v>
      </c>
      <c r="AC31" s="75">
        <v>0</v>
      </c>
      <c r="AD31" s="59">
        <f t="shared" si="12"/>
        <v>0</v>
      </c>
      <c r="AE31" s="73">
        <v>0</v>
      </c>
      <c r="AF31" s="73">
        <v>0</v>
      </c>
      <c r="AG31" s="15">
        <f t="shared" si="13"/>
        <v>0</v>
      </c>
      <c r="AH31" s="16">
        <f t="shared" si="14"/>
        <v>0</v>
      </c>
      <c r="AI31" s="17">
        <f t="shared" si="15"/>
        <v>72</v>
      </c>
      <c r="AJ31" s="12">
        <f>VLOOKUP(A31,'PreK Proxy - Sept. 2024'!$A$2:$I$674,9,FALSE)</f>
        <v>95</v>
      </c>
      <c r="AK31" s="18">
        <f t="shared" si="16"/>
        <v>0.75789473684210529</v>
      </c>
    </row>
    <row r="32" spans="1:37" x14ac:dyDescent="0.35">
      <c r="A32" s="11" t="s">
        <v>75</v>
      </c>
      <c r="B32" s="12" t="s">
        <v>76</v>
      </c>
      <c r="C32" s="54" t="s">
        <v>1442</v>
      </c>
      <c r="D32" s="54" t="s">
        <v>68</v>
      </c>
      <c r="E32" s="66">
        <f t="shared" si="0"/>
        <v>75</v>
      </c>
      <c r="F32" s="13">
        <f t="shared" si="1"/>
        <v>54</v>
      </c>
      <c r="G32" s="67">
        <f t="shared" si="2"/>
        <v>21</v>
      </c>
      <c r="H32" s="64">
        <f t="shared" si="3"/>
        <v>75</v>
      </c>
      <c r="I32" s="80">
        <v>0</v>
      </c>
      <c r="J32" s="80">
        <v>21</v>
      </c>
      <c r="K32" s="59">
        <f t="shared" si="4"/>
        <v>21</v>
      </c>
      <c r="L32" s="59">
        <v>0</v>
      </c>
      <c r="M32" s="59">
        <v>54</v>
      </c>
      <c r="N32" s="59">
        <f t="shared" si="5"/>
        <v>54</v>
      </c>
      <c r="O32" s="15">
        <f t="shared" si="6"/>
        <v>0</v>
      </c>
      <c r="P32" s="87">
        <f t="shared" si="7"/>
        <v>0</v>
      </c>
      <c r="Q32" s="110">
        <v>0</v>
      </c>
      <c r="R32" s="59">
        <v>0</v>
      </c>
      <c r="S32" s="14">
        <v>0</v>
      </c>
      <c r="T32" s="59">
        <v>0</v>
      </c>
      <c r="U32" s="15">
        <f t="shared" si="8"/>
        <v>0</v>
      </c>
      <c r="V32" s="14">
        <v>0</v>
      </c>
      <c r="W32" s="15">
        <f t="shared" si="9"/>
        <v>0</v>
      </c>
      <c r="X32" s="14">
        <v>0</v>
      </c>
      <c r="Y32" s="75">
        <v>0</v>
      </c>
      <c r="Z32" s="87">
        <f t="shared" si="10"/>
        <v>0</v>
      </c>
      <c r="AA32" s="14">
        <f t="shared" si="11"/>
        <v>0</v>
      </c>
      <c r="AB32" s="75">
        <v>0</v>
      </c>
      <c r="AC32" s="75">
        <v>0</v>
      </c>
      <c r="AD32" s="59">
        <f t="shared" si="12"/>
        <v>0</v>
      </c>
      <c r="AE32" s="73">
        <v>0</v>
      </c>
      <c r="AF32" s="73">
        <v>0</v>
      </c>
      <c r="AG32" s="15">
        <f t="shared" si="13"/>
        <v>0</v>
      </c>
      <c r="AH32" s="16">
        <f t="shared" si="14"/>
        <v>21</v>
      </c>
      <c r="AI32" s="17">
        <f t="shared" si="15"/>
        <v>54</v>
      </c>
      <c r="AJ32" s="12">
        <f>VLOOKUP(A32,'PreK Proxy - Sept. 2024'!$A$2:$I$674,9,FALSE)</f>
        <v>98</v>
      </c>
      <c r="AK32" s="18">
        <f t="shared" si="16"/>
        <v>0.76530612244897955</v>
      </c>
    </row>
    <row r="33" spans="1:37" x14ac:dyDescent="0.35">
      <c r="A33" s="11" t="s">
        <v>77</v>
      </c>
      <c r="B33" s="12" t="s">
        <v>78</v>
      </c>
      <c r="C33" s="54" t="s">
        <v>1442</v>
      </c>
      <c r="D33" s="54" t="s">
        <v>68</v>
      </c>
      <c r="E33" s="66">
        <f t="shared" si="0"/>
        <v>123</v>
      </c>
      <c r="F33" s="13">
        <f t="shared" si="1"/>
        <v>121</v>
      </c>
      <c r="G33" s="67">
        <f t="shared" si="2"/>
        <v>2</v>
      </c>
      <c r="H33" s="64">
        <f t="shared" si="3"/>
        <v>88</v>
      </c>
      <c r="I33" s="80">
        <v>0</v>
      </c>
      <c r="J33" s="80">
        <v>1</v>
      </c>
      <c r="K33" s="59">
        <f t="shared" si="4"/>
        <v>1</v>
      </c>
      <c r="L33" s="59">
        <v>0</v>
      </c>
      <c r="M33" s="59">
        <v>87</v>
      </c>
      <c r="N33" s="59">
        <f t="shared" si="5"/>
        <v>87</v>
      </c>
      <c r="O33" s="15">
        <f t="shared" si="6"/>
        <v>0</v>
      </c>
      <c r="P33" s="87">
        <f t="shared" si="7"/>
        <v>35</v>
      </c>
      <c r="Q33" s="110">
        <v>1</v>
      </c>
      <c r="R33" s="59">
        <v>34</v>
      </c>
      <c r="S33" s="14">
        <v>0</v>
      </c>
      <c r="T33" s="59">
        <v>0</v>
      </c>
      <c r="U33" s="15">
        <f t="shared" si="8"/>
        <v>0</v>
      </c>
      <c r="V33" s="14">
        <v>0</v>
      </c>
      <c r="W33" s="15">
        <f t="shared" si="9"/>
        <v>0</v>
      </c>
      <c r="X33" s="14">
        <v>0</v>
      </c>
      <c r="Y33" s="75">
        <v>0</v>
      </c>
      <c r="Z33" s="87">
        <f t="shared" si="10"/>
        <v>0</v>
      </c>
      <c r="AA33" s="14">
        <f t="shared" si="11"/>
        <v>0</v>
      </c>
      <c r="AB33" s="75">
        <v>0</v>
      </c>
      <c r="AC33" s="75">
        <v>0</v>
      </c>
      <c r="AD33" s="59">
        <f t="shared" si="12"/>
        <v>0</v>
      </c>
      <c r="AE33" s="73">
        <v>0</v>
      </c>
      <c r="AF33" s="73">
        <v>0</v>
      </c>
      <c r="AG33" s="15">
        <f t="shared" si="13"/>
        <v>0</v>
      </c>
      <c r="AH33" s="16">
        <f t="shared" si="14"/>
        <v>2</v>
      </c>
      <c r="AI33" s="17">
        <f t="shared" si="15"/>
        <v>121</v>
      </c>
      <c r="AJ33" s="12">
        <f>VLOOKUP(A33,'PreK Proxy - Sept. 2024'!$A$2:$I$674,9,FALSE)</f>
        <v>202</v>
      </c>
      <c r="AK33" s="18">
        <f t="shared" si="16"/>
        <v>0.6089108910891089</v>
      </c>
    </row>
    <row r="34" spans="1:37" x14ac:dyDescent="0.35">
      <c r="A34" s="11" t="s">
        <v>79</v>
      </c>
      <c r="B34" s="12" t="s">
        <v>80</v>
      </c>
      <c r="C34" s="54" t="s">
        <v>1458</v>
      </c>
      <c r="D34" s="54" t="s">
        <v>68</v>
      </c>
      <c r="E34" s="66">
        <f t="shared" si="0"/>
        <v>25</v>
      </c>
      <c r="F34" s="13">
        <f t="shared" si="1"/>
        <v>0</v>
      </c>
      <c r="G34" s="67">
        <f t="shared" si="2"/>
        <v>25</v>
      </c>
      <c r="H34" s="64">
        <f t="shared" si="3"/>
        <v>25</v>
      </c>
      <c r="I34" s="80">
        <v>0</v>
      </c>
      <c r="J34" s="80">
        <v>25</v>
      </c>
      <c r="K34" s="59">
        <f t="shared" si="4"/>
        <v>25</v>
      </c>
      <c r="L34" s="59">
        <v>0</v>
      </c>
      <c r="M34" s="59">
        <v>0</v>
      </c>
      <c r="N34" s="59">
        <f t="shared" si="5"/>
        <v>0</v>
      </c>
      <c r="O34" s="15">
        <f t="shared" si="6"/>
        <v>0</v>
      </c>
      <c r="P34" s="87">
        <f t="shared" si="7"/>
        <v>0</v>
      </c>
      <c r="Q34" s="110">
        <v>0</v>
      </c>
      <c r="R34" s="59">
        <v>0</v>
      </c>
      <c r="S34" s="14">
        <v>0</v>
      </c>
      <c r="T34" s="59">
        <v>0</v>
      </c>
      <c r="U34" s="15">
        <f t="shared" si="8"/>
        <v>0</v>
      </c>
      <c r="V34" s="14">
        <v>0</v>
      </c>
      <c r="W34" s="15">
        <f t="shared" si="9"/>
        <v>0</v>
      </c>
      <c r="X34" s="14">
        <v>0</v>
      </c>
      <c r="Y34" s="75">
        <v>0</v>
      </c>
      <c r="Z34" s="87">
        <f t="shared" si="10"/>
        <v>0</v>
      </c>
      <c r="AA34" s="14">
        <f t="shared" si="11"/>
        <v>0</v>
      </c>
      <c r="AB34" s="75">
        <v>0</v>
      </c>
      <c r="AC34" s="75">
        <v>0</v>
      </c>
      <c r="AD34" s="59">
        <f t="shared" si="12"/>
        <v>0</v>
      </c>
      <c r="AE34" s="73">
        <v>0</v>
      </c>
      <c r="AF34" s="73">
        <v>0</v>
      </c>
      <c r="AG34" s="15">
        <f t="shared" si="13"/>
        <v>0</v>
      </c>
      <c r="AH34" s="16">
        <f t="shared" si="14"/>
        <v>25</v>
      </c>
      <c r="AI34" s="17">
        <f t="shared" si="15"/>
        <v>0</v>
      </c>
      <c r="AJ34" s="12">
        <f>VLOOKUP(A34,'PreK Proxy - Sept. 2024'!$A$2:$I$674,9,FALSE)</f>
        <v>45</v>
      </c>
      <c r="AK34" s="18">
        <f t="shared" si="16"/>
        <v>0.55555555555555558</v>
      </c>
    </row>
    <row r="35" spans="1:37" x14ac:dyDescent="0.35">
      <c r="A35" s="11" t="s">
        <v>81</v>
      </c>
      <c r="B35" s="12" t="s">
        <v>82</v>
      </c>
      <c r="C35" s="54" t="s">
        <v>1442</v>
      </c>
      <c r="D35" s="54" t="s">
        <v>68</v>
      </c>
      <c r="E35" s="66">
        <f t="shared" si="0"/>
        <v>140</v>
      </c>
      <c r="F35" s="13">
        <f t="shared" si="1"/>
        <v>140</v>
      </c>
      <c r="G35" s="67">
        <f t="shared" si="2"/>
        <v>0</v>
      </c>
      <c r="H35" s="64">
        <f t="shared" si="3"/>
        <v>130</v>
      </c>
      <c r="I35" s="80">
        <v>0</v>
      </c>
      <c r="J35" s="80">
        <v>0</v>
      </c>
      <c r="K35" s="59">
        <f t="shared" si="4"/>
        <v>0</v>
      </c>
      <c r="L35" s="59">
        <v>57</v>
      </c>
      <c r="M35" s="59">
        <v>73</v>
      </c>
      <c r="N35" s="59">
        <f t="shared" si="5"/>
        <v>130</v>
      </c>
      <c r="O35" s="15">
        <f t="shared" si="6"/>
        <v>57</v>
      </c>
      <c r="P35" s="87">
        <f t="shared" si="7"/>
        <v>0</v>
      </c>
      <c r="Q35" s="110">
        <v>0</v>
      </c>
      <c r="R35" s="59">
        <v>0</v>
      </c>
      <c r="S35" s="14">
        <v>10</v>
      </c>
      <c r="T35" s="59">
        <v>57</v>
      </c>
      <c r="U35" s="15">
        <f t="shared" si="8"/>
        <v>67</v>
      </c>
      <c r="V35" s="14">
        <v>0</v>
      </c>
      <c r="W35" s="15">
        <f t="shared" si="9"/>
        <v>0</v>
      </c>
      <c r="X35" s="14">
        <v>0</v>
      </c>
      <c r="Y35" s="75">
        <v>0</v>
      </c>
      <c r="Z35" s="87">
        <f t="shared" si="10"/>
        <v>0</v>
      </c>
      <c r="AA35" s="14">
        <f t="shared" si="11"/>
        <v>0</v>
      </c>
      <c r="AB35" s="75">
        <v>0</v>
      </c>
      <c r="AC35" s="75">
        <v>0</v>
      </c>
      <c r="AD35" s="59">
        <f t="shared" si="12"/>
        <v>0</v>
      </c>
      <c r="AE35" s="73">
        <v>0</v>
      </c>
      <c r="AF35" s="73">
        <v>0</v>
      </c>
      <c r="AG35" s="15">
        <f t="shared" si="13"/>
        <v>0</v>
      </c>
      <c r="AH35" s="16">
        <f t="shared" si="14"/>
        <v>0</v>
      </c>
      <c r="AI35" s="17">
        <f t="shared" si="15"/>
        <v>83</v>
      </c>
      <c r="AJ35" s="12">
        <f>VLOOKUP(A35,'PreK Proxy - Sept. 2024'!$A$2:$I$674,9,FALSE)</f>
        <v>78</v>
      </c>
      <c r="AK35" s="18">
        <f t="shared" si="16"/>
        <v>1</v>
      </c>
    </row>
    <row r="36" spans="1:37" x14ac:dyDescent="0.35">
      <c r="A36" s="11" t="s">
        <v>83</v>
      </c>
      <c r="B36" s="12" t="s">
        <v>84</v>
      </c>
      <c r="C36" s="54" t="s">
        <v>1442</v>
      </c>
      <c r="D36" s="54" t="s">
        <v>68</v>
      </c>
      <c r="E36" s="66">
        <f t="shared" si="0"/>
        <v>122</v>
      </c>
      <c r="F36" s="13">
        <f t="shared" si="1"/>
        <v>0</v>
      </c>
      <c r="G36" s="67">
        <f t="shared" si="2"/>
        <v>122</v>
      </c>
      <c r="H36" s="64">
        <f t="shared" si="3"/>
        <v>122</v>
      </c>
      <c r="I36" s="80">
        <v>0</v>
      </c>
      <c r="J36" s="80">
        <v>122</v>
      </c>
      <c r="K36" s="59">
        <f t="shared" si="4"/>
        <v>122</v>
      </c>
      <c r="L36" s="59">
        <v>0</v>
      </c>
      <c r="M36" s="59">
        <v>0</v>
      </c>
      <c r="N36" s="59">
        <f t="shared" si="5"/>
        <v>0</v>
      </c>
      <c r="O36" s="15">
        <f t="shared" si="6"/>
        <v>0</v>
      </c>
      <c r="P36" s="87">
        <f t="shared" si="7"/>
        <v>0</v>
      </c>
      <c r="Q36" s="110">
        <v>0</v>
      </c>
      <c r="R36" s="59">
        <v>0</v>
      </c>
      <c r="S36" s="14">
        <v>0</v>
      </c>
      <c r="T36" s="59">
        <v>0</v>
      </c>
      <c r="U36" s="15">
        <f t="shared" si="8"/>
        <v>0</v>
      </c>
      <c r="V36" s="14">
        <v>0</v>
      </c>
      <c r="W36" s="15">
        <f t="shared" si="9"/>
        <v>0</v>
      </c>
      <c r="X36" s="14">
        <v>0</v>
      </c>
      <c r="Y36" s="75">
        <v>0</v>
      </c>
      <c r="Z36" s="87">
        <f t="shared" si="10"/>
        <v>0</v>
      </c>
      <c r="AA36" s="14">
        <f t="shared" si="11"/>
        <v>0</v>
      </c>
      <c r="AB36" s="75">
        <v>0</v>
      </c>
      <c r="AC36" s="75">
        <v>0</v>
      </c>
      <c r="AD36" s="59">
        <f t="shared" si="12"/>
        <v>0</v>
      </c>
      <c r="AE36" s="73">
        <v>0</v>
      </c>
      <c r="AF36" s="73">
        <v>0</v>
      </c>
      <c r="AG36" s="15">
        <f t="shared" si="13"/>
        <v>0</v>
      </c>
      <c r="AH36" s="16">
        <f t="shared" si="14"/>
        <v>122</v>
      </c>
      <c r="AI36" s="17">
        <f t="shared" si="15"/>
        <v>0</v>
      </c>
      <c r="AJ36" s="12">
        <f>VLOOKUP(A36,'PreK Proxy - Sept. 2024'!$A$2:$I$674,9,FALSE)</f>
        <v>261</v>
      </c>
      <c r="AK36" s="18">
        <f t="shared" si="16"/>
        <v>0.46743295019157088</v>
      </c>
    </row>
    <row r="37" spans="1:37" x14ac:dyDescent="0.35">
      <c r="A37" s="11" t="s">
        <v>85</v>
      </c>
      <c r="B37" s="12" t="s">
        <v>86</v>
      </c>
      <c r="C37" s="54" t="s">
        <v>1442</v>
      </c>
      <c r="D37" s="54" t="s">
        <v>68</v>
      </c>
      <c r="E37" s="66">
        <f t="shared" si="0"/>
        <v>110</v>
      </c>
      <c r="F37" s="13">
        <f t="shared" si="1"/>
        <v>82</v>
      </c>
      <c r="G37" s="67">
        <f t="shared" si="2"/>
        <v>28</v>
      </c>
      <c r="H37" s="64">
        <f t="shared" si="3"/>
        <v>110</v>
      </c>
      <c r="I37" s="80">
        <v>0</v>
      </c>
      <c r="J37" s="80">
        <v>28</v>
      </c>
      <c r="K37" s="59">
        <f t="shared" si="4"/>
        <v>28</v>
      </c>
      <c r="L37" s="59">
        <v>0</v>
      </c>
      <c r="M37" s="59">
        <v>82</v>
      </c>
      <c r="N37" s="59">
        <f t="shared" si="5"/>
        <v>82</v>
      </c>
      <c r="O37" s="15">
        <f t="shared" si="6"/>
        <v>0</v>
      </c>
      <c r="P37" s="87">
        <f t="shared" si="7"/>
        <v>0</v>
      </c>
      <c r="Q37" s="110">
        <v>0</v>
      </c>
      <c r="R37" s="59">
        <v>0</v>
      </c>
      <c r="S37" s="14">
        <v>0</v>
      </c>
      <c r="T37" s="59">
        <v>0</v>
      </c>
      <c r="U37" s="15">
        <f t="shared" si="8"/>
        <v>0</v>
      </c>
      <c r="V37" s="14">
        <v>0</v>
      </c>
      <c r="W37" s="15">
        <f t="shared" si="9"/>
        <v>0</v>
      </c>
      <c r="X37" s="14">
        <v>0</v>
      </c>
      <c r="Y37" s="75">
        <v>0</v>
      </c>
      <c r="Z37" s="87">
        <f t="shared" si="10"/>
        <v>0</v>
      </c>
      <c r="AA37" s="14">
        <f t="shared" si="11"/>
        <v>0</v>
      </c>
      <c r="AB37" s="75">
        <v>0</v>
      </c>
      <c r="AC37" s="75">
        <v>0</v>
      </c>
      <c r="AD37" s="59">
        <f t="shared" si="12"/>
        <v>0</v>
      </c>
      <c r="AE37" s="73">
        <v>0</v>
      </c>
      <c r="AF37" s="73">
        <v>0</v>
      </c>
      <c r="AG37" s="15">
        <f t="shared" si="13"/>
        <v>0</v>
      </c>
      <c r="AH37" s="16">
        <f t="shared" si="14"/>
        <v>28</v>
      </c>
      <c r="AI37" s="17">
        <f t="shared" si="15"/>
        <v>82</v>
      </c>
      <c r="AJ37" s="12">
        <f>VLOOKUP(A37,'PreK Proxy - Sept. 2024'!$A$2:$I$674,9,FALSE)</f>
        <v>168</v>
      </c>
      <c r="AK37" s="18">
        <f t="shared" si="16"/>
        <v>0.65476190476190477</v>
      </c>
    </row>
    <row r="38" spans="1:37" x14ac:dyDescent="0.35">
      <c r="A38" s="11" t="s">
        <v>87</v>
      </c>
      <c r="B38" s="12" t="s">
        <v>88</v>
      </c>
      <c r="C38" s="54" t="s">
        <v>1442</v>
      </c>
      <c r="D38" s="54" t="s">
        <v>68</v>
      </c>
      <c r="E38" s="66">
        <f t="shared" si="0"/>
        <v>142</v>
      </c>
      <c r="F38" s="13">
        <f t="shared" si="1"/>
        <v>130</v>
      </c>
      <c r="G38" s="67">
        <f t="shared" si="2"/>
        <v>12</v>
      </c>
      <c r="H38" s="64">
        <f t="shared" si="3"/>
        <v>77</v>
      </c>
      <c r="I38" s="80">
        <v>0</v>
      </c>
      <c r="J38" s="80">
        <v>11</v>
      </c>
      <c r="K38" s="59">
        <f t="shared" si="4"/>
        <v>11</v>
      </c>
      <c r="L38" s="59">
        <v>0</v>
      </c>
      <c r="M38" s="59">
        <v>66</v>
      </c>
      <c r="N38" s="59">
        <f t="shared" si="5"/>
        <v>66</v>
      </c>
      <c r="O38" s="15">
        <f t="shared" si="6"/>
        <v>0</v>
      </c>
      <c r="P38" s="87">
        <f t="shared" si="7"/>
        <v>65</v>
      </c>
      <c r="Q38" s="110">
        <v>1</v>
      </c>
      <c r="R38" s="59">
        <v>64</v>
      </c>
      <c r="S38" s="14">
        <v>0</v>
      </c>
      <c r="T38" s="59">
        <v>0</v>
      </c>
      <c r="U38" s="15">
        <f t="shared" si="8"/>
        <v>0</v>
      </c>
      <c r="V38" s="14">
        <v>0</v>
      </c>
      <c r="W38" s="15">
        <f t="shared" si="9"/>
        <v>0</v>
      </c>
      <c r="X38" s="14">
        <v>0</v>
      </c>
      <c r="Y38" s="75">
        <v>0</v>
      </c>
      <c r="Z38" s="87">
        <f t="shared" si="10"/>
        <v>0</v>
      </c>
      <c r="AA38" s="14">
        <f t="shared" si="11"/>
        <v>0</v>
      </c>
      <c r="AB38" s="75">
        <v>0</v>
      </c>
      <c r="AC38" s="75">
        <v>0</v>
      </c>
      <c r="AD38" s="59">
        <f t="shared" si="12"/>
        <v>0</v>
      </c>
      <c r="AE38" s="73">
        <v>0</v>
      </c>
      <c r="AF38" s="73">
        <v>0</v>
      </c>
      <c r="AG38" s="15">
        <f t="shared" si="13"/>
        <v>0</v>
      </c>
      <c r="AH38" s="16">
        <f t="shared" si="14"/>
        <v>12</v>
      </c>
      <c r="AI38" s="17">
        <f t="shared" si="15"/>
        <v>130</v>
      </c>
      <c r="AJ38" s="12">
        <f>VLOOKUP(A38,'PreK Proxy - Sept. 2024'!$A$2:$I$674,9,FALSE)</f>
        <v>226</v>
      </c>
      <c r="AK38" s="18">
        <f t="shared" si="16"/>
        <v>0.62831858407079644</v>
      </c>
    </row>
    <row r="39" spans="1:37" x14ac:dyDescent="0.35">
      <c r="A39" s="11" t="s">
        <v>89</v>
      </c>
      <c r="B39" s="12" t="s">
        <v>90</v>
      </c>
      <c r="C39" s="54" t="s">
        <v>1442</v>
      </c>
      <c r="D39" s="54" t="s">
        <v>68</v>
      </c>
      <c r="E39" s="66">
        <f t="shared" si="0"/>
        <v>120</v>
      </c>
      <c r="F39" s="13">
        <f t="shared" si="1"/>
        <v>120</v>
      </c>
      <c r="G39" s="67">
        <f t="shared" si="2"/>
        <v>0</v>
      </c>
      <c r="H39" s="64">
        <f t="shared" si="3"/>
        <v>120</v>
      </c>
      <c r="I39" s="80">
        <v>0</v>
      </c>
      <c r="J39" s="80">
        <v>0</v>
      </c>
      <c r="K39" s="59">
        <f t="shared" si="4"/>
        <v>0</v>
      </c>
      <c r="L39" s="59">
        <v>52</v>
      </c>
      <c r="M39" s="59">
        <v>68</v>
      </c>
      <c r="N39" s="59">
        <f t="shared" si="5"/>
        <v>120</v>
      </c>
      <c r="O39" s="15">
        <f t="shared" si="6"/>
        <v>0</v>
      </c>
      <c r="P39" s="87">
        <f t="shared" si="7"/>
        <v>0</v>
      </c>
      <c r="Q39" s="110">
        <v>0</v>
      </c>
      <c r="R39" s="59">
        <v>0</v>
      </c>
      <c r="S39" s="14">
        <v>0</v>
      </c>
      <c r="T39" s="59">
        <v>0</v>
      </c>
      <c r="U39" s="15">
        <f t="shared" si="8"/>
        <v>0</v>
      </c>
      <c r="V39" s="14">
        <v>0</v>
      </c>
      <c r="W39" s="15">
        <f t="shared" si="9"/>
        <v>0</v>
      </c>
      <c r="X39" s="14">
        <v>0</v>
      </c>
      <c r="Y39" s="75">
        <v>0</v>
      </c>
      <c r="Z39" s="87">
        <f t="shared" si="10"/>
        <v>0</v>
      </c>
      <c r="AA39" s="14">
        <f t="shared" si="11"/>
        <v>0</v>
      </c>
      <c r="AB39" s="75">
        <v>0</v>
      </c>
      <c r="AC39" s="75">
        <v>0</v>
      </c>
      <c r="AD39" s="59">
        <f t="shared" si="12"/>
        <v>0</v>
      </c>
      <c r="AE39" s="73">
        <v>0</v>
      </c>
      <c r="AF39" s="73">
        <v>0</v>
      </c>
      <c r="AG39" s="15">
        <f t="shared" si="13"/>
        <v>0</v>
      </c>
      <c r="AH39" s="16">
        <f t="shared" si="14"/>
        <v>0</v>
      </c>
      <c r="AI39" s="17">
        <f t="shared" si="15"/>
        <v>68</v>
      </c>
      <c r="AJ39" s="12">
        <f>VLOOKUP(A39,'PreK Proxy - Sept. 2024'!$A$2:$I$674,9,FALSE)</f>
        <v>108</v>
      </c>
      <c r="AK39" s="18">
        <f t="shared" si="16"/>
        <v>0.62962962962962965</v>
      </c>
    </row>
    <row r="40" spans="1:37" x14ac:dyDescent="0.35">
      <c r="A40" s="11" t="s">
        <v>91</v>
      </c>
      <c r="B40" s="12" t="s">
        <v>92</v>
      </c>
      <c r="C40" s="54" t="s">
        <v>1448</v>
      </c>
      <c r="D40" s="54" t="s">
        <v>43</v>
      </c>
      <c r="E40" s="66">
        <f t="shared" si="0"/>
        <v>12</v>
      </c>
      <c r="F40" s="13">
        <f t="shared" si="1"/>
        <v>12</v>
      </c>
      <c r="G40" s="67">
        <f t="shared" si="2"/>
        <v>0</v>
      </c>
      <c r="H40" s="64">
        <f t="shared" si="3"/>
        <v>12</v>
      </c>
      <c r="I40" s="80">
        <v>0</v>
      </c>
      <c r="J40" s="80">
        <v>0</v>
      </c>
      <c r="K40" s="59">
        <f t="shared" si="4"/>
        <v>0</v>
      </c>
      <c r="L40" s="59">
        <v>0</v>
      </c>
      <c r="M40" s="59">
        <v>12</v>
      </c>
      <c r="N40" s="59">
        <f t="shared" si="5"/>
        <v>12</v>
      </c>
      <c r="O40" s="15">
        <f t="shared" si="6"/>
        <v>0</v>
      </c>
      <c r="P40" s="87">
        <f t="shared" si="7"/>
        <v>0</v>
      </c>
      <c r="Q40" s="110">
        <v>0</v>
      </c>
      <c r="R40" s="59">
        <v>0</v>
      </c>
      <c r="S40" s="14">
        <v>0</v>
      </c>
      <c r="T40" s="59">
        <v>0</v>
      </c>
      <c r="U40" s="15">
        <f t="shared" si="8"/>
        <v>0</v>
      </c>
      <c r="V40" s="14">
        <v>0</v>
      </c>
      <c r="W40" s="15">
        <f t="shared" si="9"/>
        <v>0</v>
      </c>
      <c r="X40" s="14">
        <v>0</v>
      </c>
      <c r="Y40" s="75">
        <v>0</v>
      </c>
      <c r="Z40" s="87">
        <f t="shared" si="10"/>
        <v>0</v>
      </c>
      <c r="AA40" s="14">
        <f t="shared" si="11"/>
        <v>0</v>
      </c>
      <c r="AB40" s="75">
        <v>0</v>
      </c>
      <c r="AC40" s="75">
        <v>0</v>
      </c>
      <c r="AD40" s="59">
        <f t="shared" si="12"/>
        <v>0</v>
      </c>
      <c r="AE40" s="73">
        <v>0</v>
      </c>
      <c r="AF40" s="73">
        <v>0</v>
      </c>
      <c r="AG40" s="15">
        <f t="shared" si="13"/>
        <v>0</v>
      </c>
      <c r="AH40" s="16">
        <f t="shared" si="14"/>
        <v>0</v>
      </c>
      <c r="AI40" s="17">
        <f t="shared" si="15"/>
        <v>12</v>
      </c>
      <c r="AJ40" s="12">
        <f>VLOOKUP(A40,'PreK Proxy - Sept. 2024'!$A$2:$I$674,9,FALSE)</f>
        <v>14</v>
      </c>
      <c r="AK40" s="18">
        <f t="shared" si="16"/>
        <v>0.8571428571428571</v>
      </c>
    </row>
    <row r="41" spans="1:37" x14ac:dyDescent="0.35">
      <c r="A41" s="11" t="s">
        <v>93</v>
      </c>
      <c r="B41" s="12" t="s">
        <v>94</v>
      </c>
      <c r="C41" s="54" t="s">
        <v>1448</v>
      </c>
      <c r="D41" s="54" t="s">
        <v>43</v>
      </c>
      <c r="E41" s="66">
        <f t="shared" si="0"/>
        <v>44</v>
      </c>
      <c r="F41" s="13">
        <f t="shared" si="1"/>
        <v>44</v>
      </c>
      <c r="G41" s="67">
        <f t="shared" si="2"/>
        <v>0</v>
      </c>
      <c r="H41" s="64">
        <f t="shared" si="3"/>
        <v>44</v>
      </c>
      <c r="I41" s="80">
        <v>0</v>
      </c>
      <c r="J41" s="80">
        <v>0</v>
      </c>
      <c r="K41" s="59">
        <f t="shared" si="4"/>
        <v>0</v>
      </c>
      <c r="L41" s="59">
        <v>0</v>
      </c>
      <c r="M41" s="59">
        <v>44</v>
      </c>
      <c r="N41" s="59">
        <f t="shared" si="5"/>
        <v>44</v>
      </c>
      <c r="O41" s="15">
        <f t="shared" si="6"/>
        <v>0</v>
      </c>
      <c r="P41" s="87">
        <f t="shared" si="7"/>
        <v>0</v>
      </c>
      <c r="Q41" s="110">
        <v>0</v>
      </c>
      <c r="R41" s="59">
        <v>0</v>
      </c>
      <c r="S41" s="14">
        <v>0</v>
      </c>
      <c r="T41" s="59">
        <v>0</v>
      </c>
      <c r="U41" s="15">
        <f t="shared" si="8"/>
        <v>0</v>
      </c>
      <c r="V41" s="14">
        <v>0</v>
      </c>
      <c r="W41" s="15">
        <f t="shared" si="9"/>
        <v>0</v>
      </c>
      <c r="X41" s="14">
        <v>0</v>
      </c>
      <c r="Y41" s="75">
        <v>0</v>
      </c>
      <c r="Z41" s="87">
        <f t="shared" si="10"/>
        <v>0</v>
      </c>
      <c r="AA41" s="14">
        <f t="shared" si="11"/>
        <v>0</v>
      </c>
      <c r="AB41" s="75">
        <v>0</v>
      </c>
      <c r="AC41" s="75">
        <v>0</v>
      </c>
      <c r="AD41" s="59">
        <f t="shared" si="12"/>
        <v>0</v>
      </c>
      <c r="AE41" s="73">
        <v>0</v>
      </c>
      <c r="AF41" s="73">
        <v>0</v>
      </c>
      <c r="AG41" s="15">
        <f t="shared" si="13"/>
        <v>0</v>
      </c>
      <c r="AH41" s="16">
        <f t="shared" si="14"/>
        <v>0</v>
      </c>
      <c r="AI41" s="17">
        <f t="shared" si="15"/>
        <v>44</v>
      </c>
      <c r="AJ41" s="12">
        <f>VLOOKUP(A41,'PreK Proxy - Sept. 2024'!$A$2:$I$674,9,FALSE)</f>
        <v>51</v>
      </c>
      <c r="AK41" s="18">
        <f t="shared" si="16"/>
        <v>0.86274509803921573</v>
      </c>
    </row>
    <row r="42" spans="1:37" x14ac:dyDescent="0.35">
      <c r="A42" s="11" t="s">
        <v>95</v>
      </c>
      <c r="B42" s="12" t="s">
        <v>96</v>
      </c>
      <c r="C42" s="54" t="s">
        <v>1448</v>
      </c>
      <c r="D42" s="54" t="s">
        <v>43</v>
      </c>
      <c r="E42" s="66">
        <f t="shared" si="0"/>
        <v>21</v>
      </c>
      <c r="F42" s="13">
        <f t="shared" si="1"/>
        <v>20</v>
      </c>
      <c r="G42" s="67">
        <f t="shared" si="2"/>
        <v>1</v>
      </c>
      <c r="H42" s="64">
        <f t="shared" si="3"/>
        <v>21</v>
      </c>
      <c r="I42" s="80">
        <v>0</v>
      </c>
      <c r="J42" s="80">
        <v>1</v>
      </c>
      <c r="K42" s="59">
        <f t="shared" si="4"/>
        <v>1</v>
      </c>
      <c r="L42" s="59">
        <v>0</v>
      </c>
      <c r="M42" s="59">
        <v>20</v>
      </c>
      <c r="N42" s="59">
        <f t="shared" si="5"/>
        <v>20</v>
      </c>
      <c r="O42" s="15">
        <f t="shared" si="6"/>
        <v>0</v>
      </c>
      <c r="P42" s="87">
        <f t="shared" si="7"/>
        <v>0</v>
      </c>
      <c r="Q42" s="110">
        <v>0</v>
      </c>
      <c r="R42" s="59">
        <v>0</v>
      </c>
      <c r="S42" s="14">
        <v>0</v>
      </c>
      <c r="T42" s="59">
        <v>0</v>
      </c>
      <c r="U42" s="15">
        <f t="shared" si="8"/>
        <v>0</v>
      </c>
      <c r="V42" s="14">
        <v>0</v>
      </c>
      <c r="W42" s="15">
        <f t="shared" si="9"/>
        <v>0</v>
      </c>
      <c r="X42" s="14">
        <v>0</v>
      </c>
      <c r="Y42" s="75">
        <v>0</v>
      </c>
      <c r="Z42" s="87">
        <f t="shared" si="10"/>
        <v>0</v>
      </c>
      <c r="AA42" s="14">
        <f t="shared" si="11"/>
        <v>0</v>
      </c>
      <c r="AB42" s="75">
        <v>0</v>
      </c>
      <c r="AC42" s="75">
        <v>0</v>
      </c>
      <c r="AD42" s="59">
        <f t="shared" si="12"/>
        <v>0</v>
      </c>
      <c r="AE42" s="73">
        <v>0</v>
      </c>
      <c r="AF42" s="73">
        <v>0</v>
      </c>
      <c r="AG42" s="15">
        <f t="shared" si="13"/>
        <v>0</v>
      </c>
      <c r="AH42" s="16">
        <f t="shared" si="14"/>
        <v>1</v>
      </c>
      <c r="AI42" s="17">
        <f t="shared" si="15"/>
        <v>20</v>
      </c>
      <c r="AJ42" s="12">
        <f>VLOOKUP(A42,'PreK Proxy - Sept. 2024'!$A$2:$I$674,9,FALSE)</f>
        <v>25</v>
      </c>
      <c r="AK42" s="18">
        <f t="shared" si="16"/>
        <v>0.84</v>
      </c>
    </row>
    <row r="43" spans="1:37" x14ac:dyDescent="0.35">
      <c r="A43" s="11" t="s">
        <v>97</v>
      </c>
      <c r="B43" s="12" t="s">
        <v>98</v>
      </c>
      <c r="C43" s="54" t="s">
        <v>1448</v>
      </c>
      <c r="D43" s="54" t="s">
        <v>43</v>
      </c>
      <c r="E43" s="66">
        <f t="shared" si="0"/>
        <v>35</v>
      </c>
      <c r="F43" s="13">
        <f t="shared" si="1"/>
        <v>35</v>
      </c>
      <c r="G43" s="67">
        <f t="shared" si="2"/>
        <v>0</v>
      </c>
      <c r="H43" s="64">
        <f t="shared" si="3"/>
        <v>19</v>
      </c>
      <c r="I43" s="80">
        <v>0</v>
      </c>
      <c r="J43" s="80">
        <v>0</v>
      </c>
      <c r="K43" s="59">
        <f t="shared" si="4"/>
        <v>0</v>
      </c>
      <c r="L43" s="59">
        <v>4</v>
      </c>
      <c r="M43" s="59">
        <v>15</v>
      </c>
      <c r="N43" s="59">
        <f t="shared" si="5"/>
        <v>19</v>
      </c>
      <c r="O43" s="15">
        <f t="shared" si="6"/>
        <v>1</v>
      </c>
      <c r="P43" s="87">
        <f t="shared" si="7"/>
        <v>0</v>
      </c>
      <c r="Q43" s="110">
        <v>0</v>
      </c>
      <c r="R43" s="59">
        <v>0</v>
      </c>
      <c r="S43" s="14">
        <v>16</v>
      </c>
      <c r="T43" s="59">
        <v>1</v>
      </c>
      <c r="U43" s="15">
        <f t="shared" si="8"/>
        <v>17</v>
      </c>
      <c r="V43" s="14">
        <v>0</v>
      </c>
      <c r="W43" s="15">
        <f t="shared" si="9"/>
        <v>0</v>
      </c>
      <c r="X43" s="14">
        <v>0</v>
      </c>
      <c r="Y43" s="75">
        <v>0</v>
      </c>
      <c r="Z43" s="87">
        <f t="shared" si="10"/>
        <v>0</v>
      </c>
      <c r="AA43" s="14">
        <f t="shared" si="11"/>
        <v>0</v>
      </c>
      <c r="AB43" s="75">
        <v>0</v>
      </c>
      <c r="AC43" s="75">
        <v>0</v>
      </c>
      <c r="AD43" s="59">
        <f t="shared" si="12"/>
        <v>0</v>
      </c>
      <c r="AE43" s="73">
        <v>0</v>
      </c>
      <c r="AF43" s="73">
        <v>0</v>
      </c>
      <c r="AG43" s="15">
        <f t="shared" si="13"/>
        <v>0</v>
      </c>
      <c r="AH43" s="16">
        <f t="shared" si="14"/>
        <v>0</v>
      </c>
      <c r="AI43" s="17">
        <f t="shared" si="15"/>
        <v>31</v>
      </c>
      <c r="AJ43" s="12">
        <f>VLOOKUP(A43,'PreK Proxy - Sept. 2024'!$A$2:$I$674,9,FALSE)</f>
        <v>32</v>
      </c>
      <c r="AK43" s="18">
        <f t="shared" si="16"/>
        <v>0.96875</v>
      </c>
    </row>
    <row r="44" spans="1:37" x14ac:dyDescent="0.35">
      <c r="A44" s="11" t="s">
        <v>99</v>
      </c>
      <c r="B44" s="12" t="s">
        <v>100</v>
      </c>
      <c r="C44" s="54" t="s">
        <v>1448</v>
      </c>
      <c r="D44" s="54" t="s">
        <v>43</v>
      </c>
      <c r="E44" s="66">
        <f t="shared" si="0"/>
        <v>14</v>
      </c>
      <c r="F44" s="13">
        <f t="shared" si="1"/>
        <v>14</v>
      </c>
      <c r="G44" s="67">
        <f t="shared" si="2"/>
        <v>0</v>
      </c>
      <c r="H44" s="64">
        <f t="shared" si="3"/>
        <v>14</v>
      </c>
      <c r="I44" s="80">
        <v>0</v>
      </c>
      <c r="J44" s="80">
        <v>0</v>
      </c>
      <c r="K44" s="59">
        <f t="shared" si="4"/>
        <v>0</v>
      </c>
      <c r="L44" s="59">
        <v>0</v>
      </c>
      <c r="M44" s="59">
        <v>14</v>
      </c>
      <c r="N44" s="59">
        <f t="shared" si="5"/>
        <v>14</v>
      </c>
      <c r="O44" s="15">
        <f t="shared" si="6"/>
        <v>0</v>
      </c>
      <c r="P44" s="87">
        <f t="shared" si="7"/>
        <v>0</v>
      </c>
      <c r="Q44" s="110">
        <v>0</v>
      </c>
      <c r="R44" s="59">
        <v>0</v>
      </c>
      <c r="S44" s="14">
        <v>0</v>
      </c>
      <c r="T44" s="59">
        <v>0</v>
      </c>
      <c r="U44" s="15">
        <f t="shared" si="8"/>
        <v>0</v>
      </c>
      <c r="V44" s="14">
        <v>0</v>
      </c>
      <c r="W44" s="15">
        <f t="shared" si="9"/>
        <v>0</v>
      </c>
      <c r="X44" s="14">
        <v>0</v>
      </c>
      <c r="Y44" s="75">
        <v>0</v>
      </c>
      <c r="Z44" s="87">
        <f t="shared" si="10"/>
        <v>0</v>
      </c>
      <c r="AA44" s="14">
        <f t="shared" si="11"/>
        <v>0</v>
      </c>
      <c r="AB44" s="75">
        <v>0</v>
      </c>
      <c r="AC44" s="75">
        <v>0</v>
      </c>
      <c r="AD44" s="59">
        <f t="shared" si="12"/>
        <v>0</v>
      </c>
      <c r="AE44" s="73">
        <v>0</v>
      </c>
      <c r="AF44" s="73">
        <v>0</v>
      </c>
      <c r="AG44" s="15">
        <f t="shared" si="13"/>
        <v>0</v>
      </c>
      <c r="AH44" s="16">
        <f t="shared" si="14"/>
        <v>0</v>
      </c>
      <c r="AI44" s="17">
        <f t="shared" si="15"/>
        <v>14</v>
      </c>
      <c r="AJ44" s="12">
        <f>VLOOKUP(A44,'PreK Proxy - Sept. 2024'!$A$2:$I$674,9,FALSE)</f>
        <v>28</v>
      </c>
      <c r="AK44" s="18">
        <f t="shared" si="16"/>
        <v>0.5</v>
      </c>
    </row>
    <row r="45" spans="1:37" x14ac:dyDescent="0.35">
      <c r="A45" s="11" t="s">
        <v>101</v>
      </c>
      <c r="B45" s="12" t="s">
        <v>102</v>
      </c>
      <c r="C45" s="54" t="s">
        <v>1448</v>
      </c>
      <c r="D45" s="54" t="s">
        <v>43</v>
      </c>
      <c r="E45" s="66">
        <f t="shared" si="0"/>
        <v>51</v>
      </c>
      <c r="F45" s="13">
        <f t="shared" si="1"/>
        <v>51</v>
      </c>
      <c r="G45" s="67">
        <f t="shared" si="2"/>
        <v>0</v>
      </c>
      <c r="H45" s="64">
        <f t="shared" si="3"/>
        <v>34</v>
      </c>
      <c r="I45" s="80">
        <v>0</v>
      </c>
      <c r="J45" s="80">
        <v>0</v>
      </c>
      <c r="K45" s="59">
        <f t="shared" si="4"/>
        <v>0</v>
      </c>
      <c r="L45" s="59">
        <v>1</v>
      </c>
      <c r="M45" s="59">
        <v>33</v>
      </c>
      <c r="N45" s="59">
        <f t="shared" si="5"/>
        <v>34</v>
      </c>
      <c r="O45" s="15">
        <f t="shared" si="6"/>
        <v>0</v>
      </c>
      <c r="P45" s="87">
        <f t="shared" si="7"/>
        <v>0</v>
      </c>
      <c r="Q45" s="110">
        <v>0</v>
      </c>
      <c r="R45" s="59">
        <v>0</v>
      </c>
      <c r="S45" s="14">
        <v>17</v>
      </c>
      <c r="T45" s="59">
        <v>0</v>
      </c>
      <c r="U45" s="15">
        <f t="shared" si="8"/>
        <v>17</v>
      </c>
      <c r="V45" s="14">
        <v>0</v>
      </c>
      <c r="W45" s="15">
        <f t="shared" si="9"/>
        <v>0</v>
      </c>
      <c r="X45" s="14">
        <v>0</v>
      </c>
      <c r="Y45" s="75">
        <v>0</v>
      </c>
      <c r="Z45" s="87">
        <f t="shared" si="10"/>
        <v>0</v>
      </c>
      <c r="AA45" s="14">
        <f t="shared" si="11"/>
        <v>0</v>
      </c>
      <c r="AB45" s="75">
        <v>0</v>
      </c>
      <c r="AC45" s="75">
        <v>0</v>
      </c>
      <c r="AD45" s="59">
        <f t="shared" si="12"/>
        <v>0</v>
      </c>
      <c r="AE45" s="73">
        <v>0</v>
      </c>
      <c r="AF45" s="73">
        <v>0</v>
      </c>
      <c r="AG45" s="15">
        <f t="shared" si="13"/>
        <v>0</v>
      </c>
      <c r="AH45" s="16">
        <f t="shared" si="14"/>
        <v>0</v>
      </c>
      <c r="AI45" s="17">
        <f t="shared" si="15"/>
        <v>50</v>
      </c>
      <c r="AJ45" s="12">
        <f>VLOOKUP(A45,'PreK Proxy - Sept. 2024'!$A$2:$I$674,9,FALSE)</f>
        <v>33</v>
      </c>
      <c r="AK45" s="18">
        <f t="shared" si="16"/>
        <v>1</v>
      </c>
    </row>
    <row r="46" spans="1:37" x14ac:dyDescent="0.35">
      <c r="A46" s="11" t="s">
        <v>103</v>
      </c>
      <c r="B46" s="12" t="s">
        <v>104</v>
      </c>
      <c r="C46" s="54" t="s">
        <v>1448</v>
      </c>
      <c r="D46" s="54" t="s">
        <v>43</v>
      </c>
      <c r="E46" s="66">
        <f t="shared" si="0"/>
        <v>114</v>
      </c>
      <c r="F46" s="13">
        <f t="shared" si="1"/>
        <v>114</v>
      </c>
      <c r="G46" s="67">
        <f t="shared" si="2"/>
        <v>0</v>
      </c>
      <c r="H46" s="64">
        <f t="shared" si="3"/>
        <v>114</v>
      </c>
      <c r="I46" s="80">
        <v>0</v>
      </c>
      <c r="J46" s="80">
        <v>0</v>
      </c>
      <c r="K46" s="59">
        <f t="shared" si="4"/>
        <v>0</v>
      </c>
      <c r="L46" s="59">
        <v>0</v>
      </c>
      <c r="M46" s="59">
        <v>114</v>
      </c>
      <c r="N46" s="59">
        <f t="shared" si="5"/>
        <v>114</v>
      </c>
      <c r="O46" s="15">
        <f t="shared" si="6"/>
        <v>0</v>
      </c>
      <c r="P46" s="87">
        <f t="shared" si="7"/>
        <v>0</v>
      </c>
      <c r="Q46" s="110">
        <v>0</v>
      </c>
      <c r="R46" s="59">
        <v>0</v>
      </c>
      <c r="S46" s="14">
        <v>0</v>
      </c>
      <c r="T46" s="59">
        <v>0</v>
      </c>
      <c r="U46" s="15">
        <f t="shared" si="8"/>
        <v>0</v>
      </c>
      <c r="V46" s="14">
        <v>0</v>
      </c>
      <c r="W46" s="15">
        <f t="shared" si="9"/>
        <v>0</v>
      </c>
      <c r="X46" s="14">
        <v>0</v>
      </c>
      <c r="Y46" s="75">
        <v>0</v>
      </c>
      <c r="Z46" s="87">
        <f t="shared" si="10"/>
        <v>0</v>
      </c>
      <c r="AA46" s="14">
        <f t="shared" si="11"/>
        <v>0</v>
      </c>
      <c r="AB46" s="75">
        <v>0</v>
      </c>
      <c r="AC46" s="75">
        <v>0</v>
      </c>
      <c r="AD46" s="59">
        <f t="shared" si="12"/>
        <v>0</v>
      </c>
      <c r="AE46" s="73">
        <v>0</v>
      </c>
      <c r="AF46" s="73">
        <v>0</v>
      </c>
      <c r="AG46" s="15">
        <f t="shared" si="13"/>
        <v>0</v>
      </c>
      <c r="AH46" s="16">
        <f t="shared" si="14"/>
        <v>0</v>
      </c>
      <c r="AI46" s="17">
        <f t="shared" si="15"/>
        <v>114</v>
      </c>
      <c r="AJ46" s="12">
        <f>VLOOKUP(A46,'PreK Proxy - Sept. 2024'!$A$2:$I$674,9,FALSE)</f>
        <v>129</v>
      </c>
      <c r="AK46" s="18">
        <f t="shared" si="16"/>
        <v>0.88372093023255816</v>
      </c>
    </row>
    <row r="47" spans="1:37" x14ac:dyDescent="0.35">
      <c r="A47" s="11" t="s">
        <v>105</v>
      </c>
      <c r="B47" s="12" t="s">
        <v>106</v>
      </c>
      <c r="C47" s="54" t="s">
        <v>1448</v>
      </c>
      <c r="D47" s="54" t="s">
        <v>43</v>
      </c>
      <c r="E47" s="66">
        <f t="shared" si="0"/>
        <v>33</v>
      </c>
      <c r="F47" s="13">
        <f t="shared" si="1"/>
        <v>33</v>
      </c>
      <c r="G47" s="67">
        <f t="shared" si="2"/>
        <v>0</v>
      </c>
      <c r="H47" s="64">
        <f t="shared" si="3"/>
        <v>33</v>
      </c>
      <c r="I47" s="80">
        <v>0</v>
      </c>
      <c r="J47" s="80">
        <v>0</v>
      </c>
      <c r="K47" s="59">
        <f t="shared" si="4"/>
        <v>0</v>
      </c>
      <c r="L47" s="59">
        <v>0</v>
      </c>
      <c r="M47" s="59">
        <v>33</v>
      </c>
      <c r="N47" s="59">
        <f t="shared" si="5"/>
        <v>33</v>
      </c>
      <c r="O47" s="15">
        <f t="shared" si="6"/>
        <v>0</v>
      </c>
      <c r="P47" s="87">
        <f t="shared" si="7"/>
        <v>0</v>
      </c>
      <c r="Q47" s="110">
        <v>0</v>
      </c>
      <c r="R47" s="59">
        <v>0</v>
      </c>
      <c r="S47" s="14">
        <v>0</v>
      </c>
      <c r="T47" s="59">
        <v>0</v>
      </c>
      <c r="U47" s="15">
        <f t="shared" si="8"/>
        <v>0</v>
      </c>
      <c r="V47" s="14">
        <v>0</v>
      </c>
      <c r="W47" s="15">
        <f t="shared" si="9"/>
        <v>0</v>
      </c>
      <c r="X47" s="14">
        <v>0</v>
      </c>
      <c r="Y47" s="75">
        <v>0</v>
      </c>
      <c r="Z47" s="87">
        <f t="shared" si="10"/>
        <v>0</v>
      </c>
      <c r="AA47" s="14">
        <f t="shared" si="11"/>
        <v>0</v>
      </c>
      <c r="AB47" s="75">
        <v>0</v>
      </c>
      <c r="AC47" s="75">
        <v>0</v>
      </c>
      <c r="AD47" s="59">
        <f t="shared" si="12"/>
        <v>0</v>
      </c>
      <c r="AE47" s="73">
        <v>0</v>
      </c>
      <c r="AF47" s="73">
        <v>0</v>
      </c>
      <c r="AG47" s="15">
        <f t="shared" si="13"/>
        <v>0</v>
      </c>
      <c r="AH47" s="16">
        <f t="shared" si="14"/>
        <v>0</v>
      </c>
      <c r="AI47" s="17">
        <f t="shared" si="15"/>
        <v>33</v>
      </c>
      <c r="AJ47" s="12">
        <f>VLOOKUP(A47,'PreK Proxy - Sept. 2024'!$A$2:$I$674,9,FALSE)</f>
        <v>63</v>
      </c>
      <c r="AK47" s="18">
        <f t="shared" si="16"/>
        <v>0.52380952380952384</v>
      </c>
    </row>
    <row r="48" spans="1:37" x14ac:dyDescent="0.35">
      <c r="A48" s="11" t="s">
        <v>107</v>
      </c>
      <c r="B48" s="12" t="s">
        <v>108</v>
      </c>
      <c r="C48" s="54" t="s">
        <v>1448</v>
      </c>
      <c r="D48" s="54" t="s">
        <v>43</v>
      </c>
      <c r="E48" s="66">
        <f t="shared" si="0"/>
        <v>35</v>
      </c>
      <c r="F48" s="13">
        <f t="shared" si="1"/>
        <v>0</v>
      </c>
      <c r="G48" s="67">
        <f t="shared" si="2"/>
        <v>35</v>
      </c>
      <c r="H48" s="64">
        <f t="shared" si="3"/>
        <v>35</v>
      </c>
      <c r="I48" s="80">
        <v>0</v>
      </c>
      <c r="J48" s="80">
        <v>35</v>
      </c>
      <c r="K48" s="59">
        <f t="shared" si="4"/>
        <v>35</v>
      </c>
      <c r="L48" s="59">
        <v>0</v>
      </c>
      <c r="M48" s="59">
        <v>0</v>
      </c>
      <c r="N48" s="59">
        <f t="shared" si="5"/>
        <v>0</v>
      </c>
      <c r="O48" s="15">
        <f t="shared" si="6"/>
        <v>0</v>
      </c>
      <c r="P48" s="87">
        <f t="shared" si="7"/>
        <v>0</v>
      </c>
      <c r="Q48" s="110">
        <v>0</v>
      </c>
      <c r="R48" s="59">
        <v>0</v>
      </c>
      <c r="S48" s="14">
        <v>0</v>
      </c>
      <c r="T48" s="59">
        <v>0</v>
      </c>
      <c r="U48" s="15">
        <f t="shared" si="8"/>
        <v>0</v>
      </c>
      <c r="V48" s="14">
        <v>0</v>
      </c>
      <c r="W48" s="15">
        <f t="shared" si="9"/>
        <v>0</v>
      </c>
      <c r="X48" s="14">
        <v>0</v>
      </c>
      <c r="Y48" s="75">
        <v>0</v>
      </c>
      <c r="Z48" s="87">
        <f t="shared" si="10"/>
        <v>0</v>
      </c>
      <c r="AA48" s="14">
        <f t="shared" si="11"/>
        <v>0</v>
      </c>
      <c r="AB48" s="75">
        <v>0</v>
      </c>
      <c r="AC48" s="75">
        <v>0</v>
      </c>
      <c r="AD48" s="59">
        <f t="shared" si="12"/>
        <v>0</v>
      </c>
      <c r="AE48" s="73">
        <v>0</v>
      </c>
      <c r="AF48" s="73">
        <v>0</v>
      </c>
      <c r="AG48" s="15">
        <f t="shared" si="13"/>
        <v>0</v>
      </c>
      <c r="AH48" s="16">
        <f t="shared" si="14"/>
        <v>35</v>
      </c>
      <c r="AI48" s="17">
        <f t="shared" si="15"/>
        <v>0</v>
      </c>
      <c r="AJ48" s="12">
        <f>VLOOKUP(A48,'PreK Proxy - Sept. 2024'!$A$2:$I$674,9,FALSE)</f>
        <v>49</v>
      </c>
      <c r="AK48" s="18">
        <f t="shared" si="16"/>
        <v>0.7142857142857143</v>
      </c>
    </row>
    <row r="49" spans="1:37" x14ac:dyDescent="0.35">
      <c r="A49" s="11" t="s">
        <v>109</v>
      </c>
      <c r="B49" s="12" t="s">
        <v>110</v>
      </c>
      <c r="C49" s="54" t="s">
        <v>1448</v>
      </c>
      <c r="D49" s="54" t="s">
        <v>43</v>
      </c>
      <c r="E49" s="66">
        <f t="shared" si="0"/>
        <v>37</v>
      </c>
      <c r="F49" s="13">
        <f t="shared" si="1"/>
        <v>37</v>
      </c>
      <c r="G49" s="67">
        <f t="shared" si="2"/>
        <v>0</v>
      </c>
      <c r="H49" s="64">
        <f t="shared" si="3"/>
        <v>37</v>
      </c>
      <c r="I49" s="80">
        <v>0</v>
      </c>
      <c r="J49" s="80">
        <v>0</v>
      </c>
      <c r="K49" s="59">
        <f t="shared" si="4"/>
        <v>0</v>
      </c>
      <c r="L49" s="59">
        <v>0</v>
      </c>
      <c r="M49" s="59">
        <v>37</v>
      </c>
      <c r="N49" s="59">
        <f t="shared" si="5"/>
        <v>37</v>
      </c>
      <c r="O49" s="15">
        <f t="shared" si="6"/>
        <v>0</v>
      </c>
      <c r="P49" s="87">
        <f t="shared" si="7"/>
        <v>0</v>
      </c>
      <c r="Q49" s="110">
        <v>0</v>
      </c>
      <c r="R49" s="59">
        <v>0</v>
      </c>
      <c r="S49" s="14">
        <v>0</v>
      </c>
      <c r="T49" s="59">
        <v>0</v>
      </c>
      <c r="U49" s="15">
        <f t="shared" si="8"/>
        <v>0</v>
      </c>
      <c r="V49" s="14">
        <v>0</v>
      </c>
      <c r="W49" s="15">
        <f t="shared" si="9"/>
        <v>0</v>
      </c>
      <c r="X49" s="14">
        <v>0</v>
      </c>
      <c r="Y49" s="75">
        <v>0</v>
      </c>
      <c r="Z49" s="87">
        <f t="shared" si="10"/>
        <v>0</v>
      </c>
      <c r="AA49" s="14">
        <f t="shared" si="11"/>
        <v>0</v>
      </c>
      <c r="AB49" s="75">
        <v>0</v>
      </c>
      <c r="AC49" s="75">
        <v>0</v>
      </c>
      <c r="AD49" s="59">
        <f t="shared" si="12"/>
        <v>0</v>
      </c>
      <c r="AE49" s="73">
        <v>0</v>
      </c>
      <c r="AF49" s="73">
        <v>0</v>
      </c>
      <c r="AG49" s="15">
        <f t="shared" si="13"/>
        <v>0</v>
      </c>
      <c r="AH49" s="16">
        <f t="shared" si="14"/>
        <v>0</v>
      </c>
      <c r="AI49" s="17">
        <f t="shared" si="15"/>
        <v>37</v>
      </c>
      <c r="AJ49" s="12">
        <f>VLOOKUP(A49,'PreK Proxy - Sept. 2024'!$A$2:$I$674,9,FALSE)</f>
        <v>42</v>
      </c>
      <c r="AK49" s="18">
        <f t="shared" si="16"/>
        <v>0.88095238095238093</v>
      </c>
    </row>
    <row r="50" spans="1:37" x14ac:dyDescent="0.35">
      <c r="A50" s="11" t="s">
        <v>111</v>
      </c>
      <c r="B50" s="12" t="s">
        <v>112</v>
      </c>
      <c r="C50" s="54" t="s">
        <v>1448</v>
      </c>
      <c r="D50" s="54" t="s">
        <v>43</v>
      </c>
      <c r="E50" s="66">
        <f t="shared" si="0"/>
        <v>65</v>
      </c>
      <c r="F50" s="13">
        <f t="shared" si="1"/>
        <v>55</v>
      </c>
      <c r="G50" s="67">
        <f t="shared" si="2"/>
        <v>10</v>
      </c>
      <c r="H50" s="64">
        <f t="shared" si="3"/>
        <v>47</v>
      </c>
      <c r="I50" s="80">
        <v>0</v>
      </c>
      <c r="J50" s="80">
        <v>10</v>
      </c>
      <c r="K50" s="59">
        <f t="shared" si="4"/>
        <v>10</v>
      </c>
      <c r="L50" s="59">
        <v>0</v>
      </c>
      <c r="M50" s="59">
        <v>37</v>
      </c>
      <c r="N50" s="59">
        <f t="shared" si="5"/>
        <v>37</v>
      </c>
      <c r="O50" s="15">
        <f t="shared" si="6"/>
        <v>0</v>
      </c>
      <c r="P50" s="87">
        <f t="shared" si="7"/>
        <v>0</v>
      </c>
      <c r="Q50" s="110">
        <v>0</v>
      </c>
      <c r="R50" s="59">
        <v>0</v>
      </c>
      <c r="S50" s="14">
        <v>18</v>
      </c>
      <c r="T50" s="59">
        <v>0</v>
      </c>
      <c r="U50" s="15">
        <f t="shared" si="8"/>
        <v>18</v>
      </c>
      <c r="V50" s="14">
        <v>0</v>
      </c>
      <c r="W50" s="15">
        <f t="shared" si="9"/>
        <v>0</v>
      </c>
      <c r="X50" s="14">
        <v>0</v>
      </c>
      <c r="Y50" s="75">
        <v>0</v>
      </c>
      <c r="Z50" s="87">
        <f t="shared" si="10"/>
        <v>0</v>
      </c>
      <c r="AA50" s="14">
        <f t="shared" si="11"/>
        <v>0</v>
      </c>
      <c r="AB50" s="75">
        <v>0</v>
      </c>
      <c r="AC50" s="75">
        <v>0</v>
      </c>
      <c r="AD50" s="59">
        <f t="shared" si="12"/>
        <v>0</v>
      </c>
      <c r="AE50" s="73">
        <v>0</v>
      </c>
      <c r="AF50" s="73">
        <v>0</v>
      </c>
      <c r="AG50" s="15">
        <f t="shared" si="13"/>
        <v>0</v>
      </c>
      <c r="AH50" s="16">
        <f t="shared" si="14"/>
        <v>10</v>
      </c>
      <c r="AI50" s="17">
        <f t="shared" si="15"/>
        <v>55</v>
      </c>
      <c r="AJ50" s="12">
        <f>VLOOKUP(A50,'PreK Proxy - Sept. 2024'!$A$2:$I$674,9,FALSE)</f>
        <v>63</v>
      </c>
      <c r="AK50" s="18">
        <f t="shared" si="16"/>
        <v>1</v>
      </c>
    </row>
    <row r="51" spans="1:37" x14ac:dyDescent="0.35">
      <c r="A51" s="11" t="s">
        <v>113</v>
      </c>
      <c r="B51" s="12" t="s">
        <v>114</v>
      </c>
      <c r="C51" s="54" t="s">
        <v>1448</v>
      </c>
      <c r="D51" s="54" t="s">
        <v>43</v>
      </c>
      <c r="E51" s="66">
        <f t="shared" si="0"/>
        <v>106</v>
      </c>
      <c r="F51" s="13">
        <f t="shared" si="1"/>
        <v>106</v>
      </c>
      <c r="G51" s="67">
        <f t="shared" si="2"/>
        <v>0</v>
      </c>
      <c r="H51" s="64">
        <f t="shared" si="3"/>
        <v>61</v>
      </c>
      <c r="I51" s="80">
        <v>0</v>
      </c>
      <c r="J51" s="80">
        <v>0</v>
      </c>
      <c r="K51" s="59">
        <f t="shared" si="4"/>
        <v>0</v>
      </c>
      <c r="L51" s="59">
        <v>0</v>
      </c>
      <c r="M51" s="59">
        <v>61</v>
      </c>
      <c r="N51" s="59">
        <f t="shared" si="5"/>
        <v>61</v>
      </c>
      <c r="O51" s="15">
        <f t="shared" si="6"/>
        <v>0</v>
      </c>
      <c r="P51" s="87">
        <f t="shared" si="7"/>
        <v>0</v>
      </c>
      <c r="Q51" s="110">
        <v>0</v>
      </c>
      <c r="R51" s="59">
        <v>0</v>
      </c>
      <c r="S51" s="14">
        <v>45</v>
      </c>
      <c r="T51" s="59">
        <v>0</v>
      </c>
      <c r="U51" s="15">
        <f t="shared" si="8"/>
        <v>45</v>
      </c>
      <c r="V51" s="14">
        <v>0</v>
      </c>
      <c r="W51" s="15">
        <f t="shared" si="9"/>
        <v>0</v>
      </c>
      <c r="X51" s="14">
        <v>0</v>
      </c>
      <c r="Y51" s="75">
        <v>0</v>
      </c>
      <c r="Z51" s="87">
        <f t="shared" si="10"/>
        <v>0</v>
      </c>
      <c r="AA51" s="14">
        <f t="shared" si="11"/>
        <v>0</v>
      </c>
      <c r="AB51" s="75">
        <v>0</v>
      </c>
      <c r="AC51" s="75">
        <v>0</v>
      </c>
      <c r="AD51" s="59">
        <f t="shared" si="12"/>
        <v>0</v>
      </c>
      <c r="AE51" s="73">
        <v>0</v>
      </c>
      <c r="AF51" s="73">
        <v>0</v>
      </c>
      <c r="AG51" s="15">
        <f t="shared" si="13"/>
        <v>0</v>
      </c>
      <c r="AH51" s="16">
        <f t="shared" si="14"/>
        <v>0</v>
      </c>
      <c r="AI51" s="17">
        <f t="shared" si="15"/>
        <v>106</v>
      </c>
      <c r="AJ51" s="12">
        <f>VLOOKUP(A51,'PreK Proxy - Sept. 2024'!$A$2:$I$674,9,FALSE)</f>
        <v>113</v>
      </c>
      <c r="AK51" s="18">
        <f t="shared" si="16"/>
        <v>0.93805309734513276</v>
      </c>
    </row>
    <row r="52" spans="1:37" x14ac:dyDescent="0.35">
      <c r="A52" s="11" t="s">
        <v>115</v>
      </c>
      <c r="B52" s="12" t="s">
        <v>116</v>
      </c>
      <c r="C52" s="54" t="s">
        <v>1447</v>
      </c>
      <c r="D52" s="54" t="s">
        <v>117</v>
      </c>
      <c r="E52" s="66">
        <f t="shared" si="0"/>
        <v>409</v>
      </c>
      <c r="F52" s="13">
        <f t="shared" si="1"/>
        <v>396</v>
      </c>
      <c r="G52" s="67">
        <f t="shared" si="2"/>
        <v>13</v>
      </c>
      <c r="H52" s="64">
        <f t="shared" si="3"/>
        <v>263</v>
      </c>
      <c r="I52" s="80">
        <v>13</v>
      </c>
      <c r="J52" s="80">
        <v>0</v>
      </c>
      <c r="K52" s="59">
        <f t="shared" si="4"/>
        <v>13</v>
      </c>
      <c r="L52" s="59">
        <v>137</v>
      </c>
      <c r="M52" s="59">
        <v>113</v>
      </c>
      <c r="N52" s="59">
        <f t="shared" si="5"/>
        <v>250</v>
      </c>
      <c r="O52" s="15">
        <f t="shared" si="6"/>
        <v>0</v>
      </c>
      <c r="P52" s="87">
        <f t="shared" si="7"/>
        <v>0</v>
      </c>
      <c r="Q52" s="110">
        <v>0</v>
      </c>
      <c r="R52" s="59">
        <v>0</v>
      </c>
      <c r="S52" s="14">
        <v>146</v>
      </c>
      <c r="T52" s="59">
        <v>0</v>
      </c>
      <c r="U52" s="15">
        <f t="shared" si="8"/>
        <v>146</v>
      </c>
      <c r="V52" s="14">
        <v>0</v>
      </c>
      <c r="W52" s="15">
        <f t="shared" si="9"/>
        <v>0</v>
      </c>
      <c r="X52" s="14">
        <v>0</v>
      </c>
      <c r="Y52" s="75">
        <v>0</v>
      </c>
      <c r="Z52" s="87">
        <f t="shared" si="10"/>
        <v>0</v>
      </c>
      <c r="AA52" s="14">
        <f t="shared" si="11"/>
        <v>0</v>
      </c>
      <c r="AB52" s="75">
        <v>0</v>
      </c>
      <c r="AC52" s="75">
        <v>0</v>
      </c>
      <c r="AD52" s="59">
        <f t="shared" si="12"/>
        <v>0</v>
      </c>
      <c r="AE52" s="73">
        <v>0</v>
      </c>
      <c r="AF52" s="73">
        <v>0</v>
      </c>
      <c r="AG52" s="15">
        <f t="shared" si="13"/>
        <v>0</v>
      </c>
      <c r="AH52" s="16">
        <f t="shared" si="14"/>
        <v>0</v>
      </c>
      <c r="AI52" s="17">
        <f t="shared" si="15"/>
        <v>259</v>
      </c>
      <c r="AJ52" s="12">
        <f>VLOOKUP(A52,'PreK Proxy - Sept. 2024'!$A$2:$I$674,9,FALSE)</f>
        <v>260</v>
      </c>
      <c r="AK52" s="18">
        <f t="shared" si="16"/>
        <v>0.99615384615384617</v>
      </c>
    </row>
    <row r="53" spans="1:37" x14ac:dyDescent="0.35">
      <c r="A53" s="11" t="s">
        <v>118</v>
      </c>
      <c r="B53" s="12" t="s">
        <v>119</v>
      </c>
      <c r="C53" s="54" t="s">
        <v>1447</v>
      </c>
      <c r="D53" s="54" t="s">
        <v>117</v>
      </c>
      <c r="E53" s="66">
        <f t="shared" si="0"/>
        <v>36</v>
      </c>
      <c r="F53" s="13">
        <f t="shared" si="1"/>
        <v>36</v>
      </c>
      <c r="G53" s="67">
        <f t="shared" si="2"/>
        <v>0</v>
      </c>
      <c r="H53" s="64">
        <f t="shared" si="3"/>
        <v>36</v>
      </c>
      <c r="I53" s="80">
        <v>0</v>
      </c>
      <c r="J53" s="80">
        <v>0</v>
      </c>
      <c r="K53" s="59">
        <f t="shared" si="4"/>
        <v>0</v>
      </c>
      <c r="L53" s="59">
        <v>0</v>
      </c>
      <c r="M53" s="59">
        <v>36</v>
      </c>
      <c r="N53" s="59">
        <f t="shared" si="5"/>
        <v>36</v>
      </c>
      <c r="O53" s="15">
        <f t="shared" si="6"/>
        <v>36</v>
      </c>
      <c r="P53" s="87">
        <f t="shared" si="7"/>
        <v>0</v>
      </c>
      <c r="Q53" s="110">
        <v>0</v>
      </c>
      <c r="R53" s="59">
        <v>0</v>
      </c>
      <c r="S53" s="14">
        <v>0</v>
      </c>
      <c r="T53" s="59">
        <v>0</v>
      </c>
      <c r="U53" s="15">
        <f t="shared" si="8"/>
        <v>0</v>
      </c>
      <c r="V53" s="14">
        <v>0</v>
      </c>
      <c r="W53" s="15">
        <f t="shared" si="9"/>
        <v>0</v>
      </c>
      <c r="X53" s="14">
        <v>0</v>
      </c>
      <c r="Y53" s="75">
        <v>36</v>
      </c>
      <c r="Z53" s="87">
        <f t="shared" si="10"/>
        <v>36</v>
      </c>
      <c r="AA53" s="14">
        <f t="shared" si="11"/>
        <v>0</v>
      </c>
      <c r="AB53" s="75">
        <v>0</v>
      </c>
      <c r="AC53" s="75">
        <v>0</v>
      </c>
      <c r="AD53" s="59">
        <f t="shared" si="12"/>
        <v>0</v>
      </c>
      <c r="AE53" s="73">
        <v>0</v>
      </c>
      <c r="AF53" s="73">
        <v>0</v>
      </c>
      <c r="AG53" s="15">
        <f t="shared" si="13"/>
        <v>0</v>
      </c>
      <c r="AH53" s="16">
        <f t="shared" si="14"/>
        <v>0</v>
      </c>
      <c r="AI53" s="17">
        <f t="shared" si="15"/>
        <v>36</v>
      </c>
      <c r="AJ53" s="12">
        <f>VLOOKUP(A53,'PreK Proxy - Sept. 2024'!$A$2:$I$674,9,FALSE)</f>
        <v>40</v>
      </c>
      <c r="AK53" s="18">
        <f t="shared" si="16"/>
        <v>0.9</v>
      </c>
    </row>
    <row r="54" spans="1:37" x14ac:dyDescent="0.35">
      <c r="A54" s="11" t="s">
        <v>120</v>
      </c>
      <c r="B54" s="12" t="s">
        <v>121</v>
      </c>
      <c r="C54" s="54" t="s">
        <v>1447</v>
      </c>
      <c r="D54" s="54" t="s">
        <v>117</v>
      </c>
      <c r="E54" s="66">
        <f t="shared" si="0"/>
        <v>49</v>
      </c>
      <c r="F54" s="13">
        <f t="shared" si="1"/>
        <v>49</v>
      </c>
      <c r="G54" s="67">
        <f t="shared" si="2"/>
        <v>0</v>
      </c>
      <c r="H54" s="64">
        <f t="shared" si="3"/>
        <v>49</v>
      </c>
      <c r="I54" s="80">
        <v>0</v>
      </c>
      <c r="J54" s="80">
        <v>0</v>
      </c>
      <c r="K54" s="59">
        <f t="shared" si="4"/>
        <v>0</v>
      </c>
      <c r="L54" s="59">
        <v>0</v>
      </c>
      <c r="M54" s="59">
        <v>49</v>
      </c>
      <c r="N54" s="59">
        <f t="shared" si="5"/>
        <v>49</v>
      </c>
      <c r="O54" s="15">
        <f t="shared" si="6"/>
        <v>0</v>
      </c>
      <c r="P54" s="87">
        <f t="shared" si="7"/>
        <v>0</v>
      </c>
      <c r="Q54" s="110">
        <v>0</v>
      </c>
      <c r="R54" s="59">
        <v>0</v>
      </c>
      <c r="S54" s="14">
        <v>0</v>
      </c>
      <c r="T54" s="59">
        <v>0</v>
      </c>
      <c r="U54" s="15">
        <f t="shared" si="8"/>
        <v>0</v>
      </c>
      <c r="V54" s="14">
        <v>0</v>
      </c>
      <c r="W54" s="15">
        <f t="shared" si="9"/>
        <v>0</v>
      </c>
      <c r="X54" s="14">
        <v>0</v>
      </c>
      <c r="Y54" s="75">
        <v>0</v>
      </c>
      <c r="Z54" s="87">
        <f t="shared" si="10"/>
        <v>0</v>
      </c>
      <c r="AA54" s="14">
        <f t="shared" si="11"/>
        <v>0</v>
      </c>
      <c r="AB54" s="75">
        <v>0</v>
      </c>
      <c r="AC54" s="75">
        <v>0</v>
      </c>
      <c r="AD54" s="59">
        <f t="shared" si="12"/>
        <v>0</v>
      </c>
      <c r="AE54" s="73">
        <v>0</v>
      </c>
      <c r="AF54" s="73">
        <v>0</v>
      </c>
      <c r="AG54" s="15">
        <f t="shared" si="13"/>
        <v>0</v>
      </c>
      <c r="AH54" s="16">
        <f t="shared" si="14"/>
        <v>0</v>
      </c>
      <c r="AI54" s="17">
        <f t="shared" si="15"/>
        <v>49</v>
      </c>
      <c r="AJ54" s="12">
        <f>VLOOKUP(A54,'PreK Proxy - Sept. 2024'!$A$2:$I$674,9,FALSE)</f>
        <v>50</v>
      </c>
      <c r="AK54" s="18">
        <f t="shared" si="16"/>
        <v>0.98</v>
      </c>
    </row>
    <row r="55" spans="1:37" x14ac:dyDescent="0.35">
      <c r="A55" s="11" t="s">
        <v>122</v>
      </c>
      <c r="B55" s="12" t="s">
        <v>123</v>
      </c>
      <c r="C55" s="54" t="s">
        <v>1447</v>
      </c>
      <c r="D55" s="54" t="s">
        <v>117</v>
      </c>
      <c r="E55" s="66">
        <f t="shared" si="0"/>
        <v>32</v>
      </c>
      <c r="F55" s="13">
        <f t="shared" si="1"/>
        <v>32</v>
      </c>
      <c r="G55" s="67">
        <f t="shared" si="2"/>
        <v>0</v>
      </c>
      <c r="H55" s="64">
        <f t="shared" si="3"/>
        <v>18</v>
      </c>
      <c r="I55" s="80">
        <v>0</v>
      </c>
      <c r="J55" s="80">
        <v>0</v>
      </c>
      <c r="K55" s="59">
        <f t="shared" si="4"/>
        <v>0</v>
      </c>
      <c r="L55" s="59">
        <v>0</v>
      </c>
      <c r="M55" s="59">
        <v>18</v>
      </c>
      <c r="N55" s="59">
        <f t="shared" si="5"/>
        <v>18</v>
      </c>
      <c r="O55" s="15">
        <f t="shared" si="6"/>
        <v>0</v>
      </c>
      <c r="P55" s="87">
        <f t="shared" si="7"/>
        <v>0</v>
      </c>
      <c r="Q55" s="110">
        <v>0</v>
      </c>
      <c r="R55" s="59">
        <v>0</v>
      </c>
      <c r="S55" s="14">
        <v>0</v>
      </c>
      <c r="T55" s="59">
        <v>0</v>
      </c>
      <c r="U55" s="15">
        <f t="shared" si="8"/>
        <v>0</v>
      </c>
      <c r="V55" s="14">
        <v>14</v>
      </c>
      <c r="W55" s="15">
        <f t="shared" si="9"/>
        <v>14</v>
      </c>
      <c r="X55" s="14">
        <v>0</v>
      </c>
      <c r="Y55" s="75">
        <v>0</v>
      </c>
      <c r="Z55" s="87">
        <f t="shared" si="10"/>
        <v>0</v>
      </c>
      <c r="AA55" s="14">
        <f t="shared" si="11"/>
        <v>0</v>
      </c>
      <c r="AB55" s="75">
        <v>0</v>
      </c>
      <c r="AC55" s="75">
        <v>0</v>
      </c>
      <c r="AD55" s="59">
        <f t="shared" si="12"/>
        <v>0</v>
      </c>
      <c r="AE55" s="73">
        <v>0</v>
      </c>
      <c r="AF55" s="73">
        <v>0</v>
      </c>
      <c r="AG55" s="15">
        <f t="shared" si="13"/>
        <v>0</v>
      </c>
      <c r="AH55" s="16">
        <f t="shared" si="14"/>
        <v>0</v>
      </c>
      <c r="AI55" s="17">
        <f t="shared" si="15"/>
        <v>32</v>
      </c>
      <c r="AJ55" s="12">
        <f>VLOOKUP(A55,'PreK Proxy - Sept. 2024'!$A$2:$I$674,9,FALSE)</f>
        <v>45</v>
      </c>
      <c r="AK55" s="18">
        <f t="shared" si="16"/>
        <v>0.71111111111111114</v>
      </c>
    </row>
    <row r="56" spans="1:37" x14ac:dyDescent="0.35">
      <c r="A56" s="11" t="s">
        <v>124</v>
      </c>
      <c r="B56" s="12" t="s">
        <v>125</v>
      </c>
      <c r="C56" s="54" t="s">
        <v>1447</v>
      </c>
      <c r="D56" s="54" t="s">
        <v>117</v>
      </c>
      <c r="E56" s="66">
        <f t="shared" si="0"/>
        <v>49</v>
      </c>
      <c r="F56" s="13">
        <f t="shared" si="1"/>
        <v>49</v>
      </c>
      <c r="G56" s="67">
        <f t="shared" si="2"/>
        <v>0</v>
      </c>
      <c r="H56" s="64">
        <f t="shared" si="3"/>
        <v>49</v>
      </c>
      <c r="I56" s="80">
        <v>0</v>
      </c>
      <c r="J56" s="80">
        <v>0</v>
      </c>
      <c r="K56" s="59">
        <f t="shared" si="4"/>
        <v>0</v>
      </c>
      <c r="L56" s="59">
        <v>0</v>
      </c>
      <c r="M56" s="59">
        <v>49</v>
      </c>
      <c r="N56" s="59">
        <f t="shared" si="5"/>
        <v>49</v>
      </c>
      <c r="O56" s="15">
        <f t="shared" si="6"/>
        <v>48</v>
      </c>
      <c r="P56" s="87">
        <f t="shared" si="7"/>
        <v>0</v>
      </c>
      <c r="Q56" s="110">
        <v>0</v>
      </c>
      <c r="R56" s="59">
        <v>0</v>
      </c>
      <c r="S56" s="14">
        <v>0</v>
      </c>
      <c r="T56" s="59">
        <v>48</v>
      </c>
      <c r="U56" s="15">
        <f t="shared" si="8"/>
        <v>48</v>
      </c>
      <c r="V56" s="14">
        <v>0</v>
      </c>
      <c r="W56" s="15">
        <f t="shared" si="9"/>
        <v>0</v>
      </c>
      <c r="X56" s="14">
        <v>0</v>
      </c>
      <c r="Y56" s="75">
        <v>0</v>
      </c>
      <c r="Z56" s="87">
        <f t="shared" si="10"/>
        <v>0</v>
      </c>
      <c r="AA56" s="14">
        <f t="shared" si="11"/>
        <v>0</v>
      </c>
      <c r="AB56" s="75">
        <v>0</v>
      </c>
      <c r="AC56" s="75">
        <v>0</v>
      </c>
      <c r="AD56" s="59">
        <f t="shared" si="12"/>
        <v>0</v>
      </c>
      <c r="AE56" s="73">
        <v>0</v>
      </c>
      <c r="AF56" s="73">
        <v>0</v>
      </c>
      <c r="AG56" s="15">
        <f t="shared" si="13"/>
        <v>0</v>
      </c>
      <c r="AH56" s="16">
        <f t="shared" si="14"/>
        <v>0</v>
      </c>
      <c r="AI56" s="17">
        <f t="shared" si="15"/>
        <v>49</v>
      </c>
      <c r="AJ56" s="12">
        <f>VLOOKUP(A56,'PreK Proxy - Sept. 2024'!$A$2:$I$674,9,FALSE)</f>
        <v>50</v>
      </c>
      <c r="AK56" s="18">
        <f t="shared" si="16"/>
        <v>0.98</v>
      </c>
    </row>
    <row r="57" spans="1:37" x14ac:dyDescent="0.35">
      <c r="A57" s="11" t="s">
        <v>126</v>
      </c>
      <c r="B57" s="12" t="s">
        <v>127</v>
      </c>
      <c r="C57" s="54" t="s">
        <v>1447</v>
      </c>
      <c r="D57" s="54" t="s">
        <v>117</v>
      </c>
      <c r="E57" s="66">
        <f t="shared" si="0"/>
        <v>38</v>
      </c>
      <c r="F57" s="13">
        <f t="shared" si="1"/>
        <v>38</v>
      </c>
      <c r="G57" s="67">
        <f t="shared" si="2"/>
        <v>0</v>
      </c>
      <c r="H57" s="64">
        <f t="shared" si="3"/>
        <v>36</v>
      </c>
      <c r="I57" s="80">
        <v>0</v>
      </c>
      <c r="J57" s="80">
        <v>0</v>
      </c>
      <c r="K57" s="59">
        <f t="shared" si="4"/>
        <v>0</v>
      </c>
      <c r="L57" s="59">
        <v>0</v>
      </c>
      <c r="M57" s="59">
        <v>36</v>
      </c>
      <c r="N57" s="59">
        <f t="shared" si="5"/>
        <v>36</v>
      </c>
      <c r="O57" s="15">
        <f t="shared" si="6"/>
        <v>0</v>
      </c>
      <c r="P57" s="87">
        <f t="shared" si="7"/>
        <v>0</v>
      </c>
      <c r="Q57" s="110">
        <v>0</v>
      </c>
      <c r="R57" s="59">
        <v>0</v>
      </c>
      <c r="S57" s="14">
        <v>0</v>
      </c>
      <c r="T57" s="59">
        <v>0</v>
      </c>
      <c r="U57" s="15">
        <f t="shared" si="8"/>
        <v>0</v>
      </c>
      <c r="V57" s="14">
        <v>0</v>
      </c>
      <c r="W57" s="15">
        <f t="shared" si="9"/>
        <v>0</v>
      </c>
      <c r="X57" s="14">
        <v>2</v>
      </c>
      <c r="Y57" s="75">
        <v>0</v>
      </c>
      <c r="Z57" s="87">
        <f t="shared" si="10"/>
        <v>2</v>
      </c>
      <c r="AA57" s="14">
        <f t="shared" si="11"/>
        <v>0</v>
      </c>
      <c r="AB57" s="75">
        <v>0</v>
      </c>
      <c r="AC57" s="75">
        <v>0</v>
      </c>
      <c r="AD57" s="59">
        <f t="shared" si="12"/>
        <v>0</v>
      </c>
      <c r="AE57" s="73">
        <v>0</v>
      </c>
      <c r="AF57" s="73">
        <v>0</v>
      </c>
      <c r="AG57" s="15">
        <f t="shared" si="13"/>
        <v>0</v>
      </c>
      <c r="AH57" s="16">
        <f t="shared" si="14"/>
        <v>0</v>
      </c>
      <c r="AI57" s="17">
        <f t="shared" si="15"/>
        <v>38</v>
      </c>
      <c r="AJ57" s="12">
        <f>VLOOKUP(A57,'PreK Proxy - Sept. 2024'!$A$2:$I$674,9,FALSE)</f>
        <v>46</v>
      </c>
      <c r="AK57" s="18">
        <f t="shared" si="16"/>
        <v>0.82608695652173914</v>
      </c>
    </row>
    <row r="58" spans="1:37" x14ac:dyDescent="0.35">
      <c r="A58" s="11" t="s">
        <v>128</v>
      </c>
      <c r="B58" s="12" t="s">
        <v>129</v>
      </c>
      <c r="C58" s="54" t="s">
        <v>1447</v>
      </c>
      <c r="D58" s="54" t="s">
        <v>117</v>
      </c>
      <c r="E58" s="66">
        <f t="shared" si="0"/>
        <v>30</v>
      </c>
      <c r="F58" s="13">
        <f t="shared" si="1"/>
        <v>30</v>
      </c>
      <c r="G58" s="67">
        <f t="shared" si="2"/>
        <v>0</v>
      </c>
      <c r="H58" s="64">
        <f t="shared" si="3"/>
        <v>0</v>
      </c>
      <c r="I58" s="80">
        <v>0</v>
      </c>
      <c r="J58" s="80">
        <v>0</v>
      </c>
      <c r="K58" s="59">
        <f t="shared" si="4"/>
        <v>0</v>
      </c>
      <c r="L58" s="59">
        <v>0</v>
      </c>
      <c r="M58" s="59">
        <v>0</v>
      </c>
      <c r="N58" s="59">
        <f t="shared" si="5"/>
        <v>0</v>
      </c>
      <c r="O58" s="15">
        <f t="shared" si="6"/>
        <v>0</v>
      </c>
      <c r="P58" s="87">
        <f t="shared" si="7"/>
        <v>0</v>
      </c>
      <c r="Q58" s="110">
        <v>0</v>
      </c>
      <c r="R58" s="59">
        <v>0</v>
      </c>
      <c r="S58" s="14">
        <v>30</v>
      </c>
      <c r="T58" s="59">
        <v>0</v>
      </c>
      <c r="U58" s="15">
        <f t="shared" si="8"/>
        <v>30</v>
      </c>
      <c r="V58" s="14">
        <v>0</v>
      </c>
      <c r="W58" s="15">
        <f t="shared" si="9"/>
        <v>0</v>
      </c>
      <c r="X58" s="14">
        <v>0</v>
      </c>
      <c r="Y58" s="75">
        <v>0</v>
      </c>
      <c r="Z58" s="87">
        <f t="shared" si="10"/>
        <v>0</v>
      </c>
      <c r="AA58" s="14">
        <f t="shared" si="11"/>
        <v>0</v>
      </c>
      <c r="AB58" s="75">
        <v>0</v>
      </c>
      <c r="AC58" s="75">
        <v>0</v>
      </c>
      <c r="AD58" s="59">
        <f t="shared" si="12"/>
        <v>0</v>
      </c>
      <c r="AE58" s="73">
        <v>0</v>
      </c>
      <c r="AF58" s="73">
        <v>0</v>
      </c>
      <c r="AG58" s="15">
        <f t="shared" si="13"/>
        <v>0</v>
      </c>
      <c r="AH58" s="16">
        <f t="shared" si="14"/>
        <v>0</v>
      </c>
      <c r="AI58" s="17">
        <f t="shared" si="15"/>
        <v>30</v>
      </c>
      <c r="AJ58" s="12">
        <f>VLOOKUP(A58,'PreK Proxy - Sept. 2024'!$A$2:$I$674,9,FALSE)</f>
        <v>41</v>
      </c>
      <c r="AK58" s="18">
        <f t="shared" si="16"/>
        <v>0.73170731707317072</v>
      </c>
    </row>
    <row r="59" spans="1:37" x14ac:dyDescent="0.35">
      <c r="A59" s="11" t="s">
        <v>130</v>
      </c>
      <c r="B59" s="12" t="s">
        <v>131</v>
      </c>
      <c r="C59" s="54" t="s">
        <v>1369</v>
      </c>
      <c r="D59" s="54" t="s">
        <v>43</v>
      </c>
      <c r="E59" s="66">
        <f t="shared" si="0"/>
        <v>53</v>
      </c>
      <c r="F59" s="13">
        <f t="shared" si="1"/>
        <v>16</v>
      </c>
      <c r="G59" s="67">
        <f t="shared" si="2"/>
        <v>37</v>
      </c>
      <c r="H59" s="64">
        <f t="shared" si="3"/>
        <v>53</v>
      </c>
      <c r="I59" s="80">
        <v>0</v>
      </c>
      <c r="J59" s="80">
        <v>37</v>
      </c>
      <c r="K59" s="59">
        <f t="shared" si="4"/>
        <v>37</v>
      </c>
      <c r="L59" s="59">
        <v>0</v>
      </c>
      <c r="M59" s="59">
        <v>16</v>
      </c>
      <c r="N59" s="59">
        <f t="shared" si="5"/>
        <v>16</v>
      </c>
      <c r="O59" s="15">
        <f t="shared" si="6"/>
        <v>0</v>
      </c>
      <c r="P59" s="87">
        <f t="shared" si="7"/>
        <v>0</v>
      </c>
      <c r="Q59" s="110">
        <v>0</v>
      </c>
      <c r="R59" s="59">
        <v>0</v>
      </c>
      <c r="S59" s="14">
        <v>0</v>
      </c>
      <c r="T59" s="59">
        <v>0</v>
      </c>
      <c r="U59" s="15">
        <f t="shared" si="8"/>
        <v>0</v>
      </c>
      <c r="V59" s="14">
        <v>0</v>
      </c>
      <c r="W59" s="15">
        <f t="shared" si="9"/>
        <v>0</v>
      </c>
      <c r="X59" s="14">
        <v>0</v>
      </c>
      <c r="Y59" s="75">
        <v>0</v>
      </c>
      <c r="Z59" s="87">
        <f t="shared" si="10"/>
        <v>0</v>
      </c>
      <c r="AA59" s="14">
        <f t="shared" si="11"/>
        <v>0</v>
      </c>
      <c r="AB59" s="75">
        <v>0</v>
      </c>
      <c r="AC59" s="75">
        <v>0</v>
      </c>
      <c r="AD59" s="59">
        <f t="shared" si="12"/>
        <v>0</v>
      </c>
      <c r="AE59" s="73">
        <v>0</v>
      </c>
      <c r="AF59" s="73">
        <v>0</v>
      </c>
      <c r="AG59" s="15">
        <f t="shared" si="13"/>
        <v>0</v>
      </c>
      <c r="AH59" s="16">
        <f t="shared" si="14"/>
        <v>37</v>
      </c>
      <c r="AI59" s="17">
        <f t="shared" si="15"/>
        <v>16</v>
      </c>
      <c r="AJ59" s="12">
        <f>VLOOKUP(A59,'PreK Proxy - Sept. 2024'!$A$2:$I$674,9,FALSE)</f>
        <v>72</v>
      </c>
      <c r="AK59" s="18">
        <f t="shared" si="16"/>
        <v>0.73611111111111116</v>
      </c>
    </row>
    <row r="60" spans="1:37" x14ac:dyDescent="0.35">
      <c r="A60" s="11" t="s">
        <v>132</v>
      </c>
      <c r="B60" s="12" t="s">
        <v>133</v>
      </c>
      <c r="C60" s="54" t="s">
        <v>1369</v>
      </c>
      <c r="D60" s="54" t="s">
        <v>43</v>
      </c>
      <c r="E60" s="66">
        <f t="shared" si="0"/>
        <v>32</v>
      </c>
      <c r="F60" s="13">
        <f t="shared" si="1"/>
        <v>32</v>
      </c>
      <c r="G60" s="67">
        <f t="shared" si="2"/>
        <v>0</v>
      </c>
      <c r="H60" s="64">
        <f t="shared" si="3"/>
        <v>32</v>
      </c>
      <c r="I60" s="80">
        <v>0</v>
      </c>
      <c r="J60" s="80">
        <v>0</v>
      </c>
      <c r="K60" s="59">
        <f t="shared" si="4"/>
        <v>0</v>
      </c>
      <c r="L60" s="59">
        <v>0</v>
      </c>
      <c r="M60" s="59">
        <v>32</v>
      </c>
      <c r="N60" s="59">
        <f t="shared" si="5"/>
        <v>32</v>
      </c>
      <c r="O60" s="15">
        <f t="shared" si="6"/>
        <v>0</v>
      </c>
      <c r="P60" s="87">
        <f t="shared" si="7"/>
        <v>0</v>
      </c>
      <c r="Q60" s="110">
        <v>0</v>
      </c>
      <c r="R60" s="59">
        <v>0</v>
      </c>
      <c r="S60" s="14">
        <v>0</v>
      </c>
      <c r="T60" s="59">
        <v>0</v>
      </c>
      <c r="U60" s="15">
        <f t="shared" si="8"/>
        <v>0</v>
      </c>
      <c r="V60" s="14">
        <v>0</v>
      </c>
      <c r="W60" s="15">
        <f t="shared" si="9"/>
        <v>0</v>
      </c>
      <c r="X60" s="14">
        <v>0</v>
      </c>
      <c r="Y60" s="75">
        <v>0</v>
      </c>
      <c r="Z60" s="87">
        <f t="shared" si="10"/>
        <v>0</v>
      </c>
      <c r="AA60" s="14">
        <f t="shared" si="11"/>
        <v>0</v>
      </c>
      <c r="AB60" s="75">
        <v>0</v>
      </c>
      <c r="AC60" s="75">
        <v>0</v>
      </c>
      <c r="AD60" s="59">
        <f t="shared" si="12"/>
        <v>0</v>
      </c>
      <c r="AE60" s="73">
        <v>0</v>
      </c>
      <c r="AF60" s="73">
        <v>0</v>
      </c>
      <c r="AG60" s="15">
        <f t="shared" si="13"/>
        <v>0</v>
      </c>
      <c r="AH60" s="16">
        <f t="shared" si="14"/>
        <v>0</v>
      </c>
      <c r="AI60" s="17">
        <f t="shared" si="15"/>
        <v>32</v>
      </c>
      <c r="AJ60" s="12">
        <f>VLOOKUP(A60,'PreK Proxy - Sept. 2024'!$A$2:$I$674,9,FALSE)</f>
        <v>41</v>
      </c>
      <c r="AK60" s="18">
        <f t="shared" si="16"/>
        <v>0.78048780487804881</v>
      </c>
    </row>
    <row r="61" spans="1:37" x14ac:dyDescent="0.35">
      <c r="A61" s="11" t="s">
        <v>134</v>
      </c>
      <c r="B61" s="12" t="s">
        <v>135</v>
      </c>
      <c r="C61" s="54" t="s">
        <v>1369</v>
      </c>
      <c r="D61" s="54" t="s">
        <v>43</v>
      </c>
      <c r="E61" s="66">
        <f t="shared" si="0"/>
        <v>48</v>
      </c>
      <c r="F61" s="13">
        <f t="shared" si="1"/>
        <v>48</v>
      </c>
      <c r="G61" s="67">
        <f t="shared" si="2"/>
        <v>0</v>
      </c>
      <c r="H61" s="64">
        <f t="shared" si="3"/>
        <v>30</v>
      </c>
      <c r="I61" s="80">
        <v>0</v>
      </c>
      <c r="J61" s="80">
        <v>0</v>
      </c>
      <c r="K61" s="59">
        <f t="shared" si="4"/>
        <v>0</v>
      </c>
      <c r="L61" s="59">
        <v>0</v>
      </c>
      <c r="M61" s="59">
        <v>30</v>
      </c>
      <c r="N61" s="59">
        <f t="shared" si="5"/>
        <v>30</v>
      </c>
      <c r="O61" s="15">
        <f t="shared" si="6"/>
        <v>0</v>
      </c>
      <c r="P61" s="87">
        <f t="shared" si="7"/>
        <v>0</v>
      </c>
      <c r="Q61" s="110">
        <v>0</v>
      </c>
      <c r="R61" s="59">
        <v>0</v>
      </c>
      <c r="S61" s="14">
        <v>0</v>
      </c>
      <c r="T61" s="59">
        <v>0</v>
      </c>
      <c r="U61" s="15">
        <f t="shared" si="8"/>
        <v>0</v>
      </c>
      <c r="V61" s="14">
        <v>0</v>
      </c>
      <c r="W61" s="15">
        <f t="shared" si="9"/>
        <v>0</v>
      </c>
      <c r="X61" s="14">
        <v>18</v>
      </c>
      <c r="Y61" s="75">
        <v>0</v>
      </c>
      <c r="Z61" s="87">
        <f t="shared" si="10"/>
        <v>18</v>
      </c>
      <c r="AA61" s="14">
        <f t="shared" si="11"/>
        <v>0</v>
      </c>
      <c r="AB61" s="75">
        <v>0</v>
      </c>
      <c r="AC61" s="75">
        <v>0</v>
      </c>
      <c r="AD61" s="59">
        <f t="shared" si="12"/>
        <v>0</v>
      </c>
      <c r="AE61" s="73">
        <v>0</v>
      </c>
      <c r="AF61" s="73">
        <v>0</v>
      </c>
      <c r="AG61" s="15">
        <f t="shared" si="13"/>
        <v>0</v>
      </c>
      <c r="AH61" s="16">
        <f t="shared" si="14"/>
        <v>0</v>
      </c>
      <c r="AI61" s="17">
        <f t="shared" si="15"/>
        <v>48</v>
      </c>
      <c r="AJ61" s="12">
        <f>VLOOKUP(A61,'PreK Proxy - Sept. 2024'!$A$2:$I$674,9,FALSE)</f>
        <v>53</v>
      </c>
      <c r="AK61" s="18">
        <f t="shared" si="16"/>
        <v>0.90566037735849059</v>
      </c>
    </row>
    <row r="62" spans="1:37" x14ac:dyDescent="0.35">
      <c r="A62" s="11" t="s">
        <v>136</v>
      </c>
      <c r="B62" s="12" t="s">
        <v>137</v>
      </c>
      <c r="C62" s="54" t="s">
        <v>1369</v>
      </c>
      <c r="D62" s="54" t="s">
        <v>43</v>
      </c>
      <c r="E62" s="66">
        <f t="shared" si="0"/>
        <v>22</v>
      </c>
      <c r="F62" s="13">
        <f t="shared" si="1"/>
        <v>22</v>
      </c>
      <c r="G62" s="67">
        <f t="shared" si="2"/>
        <v>0</v>
      </c>
      <c r="H62" s="64">
        <f t="shared" si="3"/>
        <v>10</v>
      </c>
      <c r="I62" s="80">
        <v>0</v>
      </c>
      <c r="J62" s="80">
        <v>0</v>
      </c>
      <c r="K62" s="59">
        <f t="shared" si="4"/>
        <v>0</v>
      </c>
      <c r="L62" s="59">
        <v>0</v>
      </c>
      <c r="M62" s="59">
        <v>10</v>
      </c>
      <c r="N62" s="59">
        <f t="shared" si="5"/>
        <v>10</v>
      </c>
      <c r="O62" s="15">
        <f t="shared" si="6"/>
        <v>0</v>
      </c>
      <c r="P62" s="87">
        <f t="shared" si="7"/>
        <v>12</v>
      </c>
      <c r="Q62" s="110">
        <v>0</v>
      </c>
      <c r="R62" s="59">
        <v>12</v>
      </c>
      <c r="S62" s="14">
        <v>0</v>
      </c>
      <c r="T62" s="59">
        <v>0</v>
      </c>
      <c r="U62" s="15">
        <f t="shared" si="8"/>
        <v>0</v>
      </c>
      <c r="V62" s="14">
        <v>0</v>
      </c>
      <c r="W62" s="15">
        <f t="shared" si="9"/>
        <v>0</v>
      </c>
      <c r="X62" s="14">
        <v>0</v>
      </c>
      <c r="Y62" s="75">
        <v>0</v>
      </c>
      <c r="Z62" s="87">
        <f t="shared" si="10"/>
        <v>0</v>
      </c>
      <c r="AA62" s="14">
        <f t="shared" si="11"/>
        <v>0</v>
      </c>
      <c r="AB62" s="75">
        <v>0</v>
      </c>
      <c r="AC62" s="75">
        <v>0</v>
      </c>
      <c r="AD62" s="59">
        <f t="shared" si="12"/>
        <v>0</v>
      </c>
      <c r="AE62" s="73">
        <v>0</v>
      </c>
      <c r="AF62" s="73">
        <v>0</v>
      </c>
      <c r="AG62" s="15">
        <f t="shared" si="13"/>
        <v>0</v>
      </c>
      <c r="AH62" s="16">
        <f t="shared" si="14"/>
        <v>0</v>
      </c>
      <c r="AI62" s="17">
        <f t="shared" si="15"/>
        <v>22</v>
      </c>
      <c r="AJ62" s="12">
        <f>VLOOKUP(A62,'PreK Proxy - Sept. 2024'!$A$2:$I$674,9,FALSE)</f>
        <v>35</v>
      </c>
      <c r="AK62" s="18">
        <f t="shared" si="16"/>
        <v>0.62857142857142856</v>
      </c>
    </row>
    <row r="63" spans="1:37" x14ac:dyDescent="0.35">
      <c r="A63" s="11" t="s">
        <v>138</v>
      </c>
      <c r="B63" s="12" t="s">
        <v>139</v>
      </c>
      <c r="C63" s="54" t="s">
        <v>1369</v>
      </c>
      <c r="D63" s="54" t="s">
        <v>43</v>
      </c>
      <c r="E63" s="66">
        <f t="shared" si="0"/>
        <v>42</v>
      </c>
      <c r="F63" s="13">
        <f t="shared" si="1"/>
        <v>42</v>
      </c>
      <c r="G63" s="67">
        <f t="shared" si="2"/>
        <v>0</v>
      </c>
      <c r="H63" s="64">
        <f t="shared" si="3"/>
        <v>24</v>
      </c>
      <c r="I63" s="80">
        <v>0</v>
      </c>
      <c r="J63" s="80">
        <v>0</v>
      </c>
      <c r="K63" s="59">
        <f t="shared" si="4"/>
        <v>0</v>
      </c>
      <c r="L63" s="59">
        <v>15</v>
      </c>
      <c r="M63" s="59">
        <v>9</v>
      </c>
      <c r="N63" s="59">
        <f t="shared" si="5"/>
        <v>24</v>
      </c>
      <c r="O63" s="15">
        <f t="shared" si="6"/>
        <v>0</v>
      </c>
      <c r="P63" s="87">
        <f t="shared" si="7"/>
        <v>0</v>
      </c>
      <c r="Q63" s="110">
        <v>0</v>
      </c>
      <c r="R63" s="59">
        <v>0</v>
      </c>
      <c r="S63" s="14">
        <v>0</v>
      </c>
      <c r="T63" s="59">
        <v>0</v>
      </c>
      <c r="U63" s="15">
        <f t="shared" si="8"/>
        <v>0</v>
      </c>
      <c r="V63" s="14">
        <v>18</v>
      </c>
      <c r="W63" s="15">
        <f t="shared" si="9"/>
        <v>18</v>
      </c>
      <c r="X63" s="14">
        <v>0</v>
      </c>
      <c r="Y63" s="75">
        <v>0</v>
      </c>
      <c r="Z63" s="87">
        <f t="shared" si="10"/>
        <v>0</v>
      </c>
      <c r="AA63" s="14">
        <f t="shared" si="11"/>
        <v>0</v>
      </c>
      <c r="AB63" s="75">
        <v>0</v>
      </c>
      <c r="AC63" s="75">
        <v>0</v>
      </c>
      <c r="AD63" s="59">
        <f t="shared" si="12"/>
        <v>0</v>
      </c>
      <c r="AE63" s="73">
        <v>0</v>
      </c>
      <c r="AF63" s="73">
        <v>0</v>
      </c>
      <c r="AG63" s="15">
        <f t="shared" si="13"/>
        <v>0</v>
      </c>
      <c r="AH63" s="16">
        <f t="shared" si="14"/>
        <v>0</v>
      </c>
      <c r="AI63" s="17">
        <f t="shared" si="15"/>
        <v>27</v>
      </c>
      <c r="AJ63" s="12">
        <f>VLOOKUP(A63,'PreK Proxy - Sept. 2024'!$A$2:$I$674,9,FALSE)</f>
        <v>34</v>
      </c>
      <c r="AK63" s="18">
        <f t="shared" si="16"/>
        <v>0.79411764705882348</v>
      </c>
    </row>
    <row r="64" spans="1:37" x14ac:dyDescent="0.35">
      <c r="A64" s="11" t="s">
        <v>140</v>
      </c>
      <c r="B64" s="12" t="s">
        <v>141</v>
      </c>
      <c r="C64" s="54" t="s">
        <v>1369</v>
      </c>
      <c r="D64" s="54" t="s">
        <v>43</v>
      </c>
      <c r="E64" s="66">
        <f t="shared" si="0"/>
        <v>17</v>
      </c>
      <c r="F64" s="13">
        <f t="shared" si="1"/>
        <v>17</v>
      </c>
      <c r="G64" s="67">
        <f t="shared" si="2"/>
        <v>0</v>
      </c>
      <c r="H64" s="64">
        <f t="shared" si="3"/>
        <v>8</v>
      </c>
      <c r="I64" s="80">
        <v>0</v>
      </c>
      <c r="J64" s="80">
        <v>0</v>
      </c>
      <c r="K64" s="59">
        <f t="shared" si="4"/>
        <v>0</v>
      </c>
      <c r="L64" s="59">
        <v>0</v>
      </c>
      <c r="M64" s="59">
        <v>8</v>
      </c>
      <c r="N64" s="59">
        <f t="shared" si="5"/>
        <v>8</v>
      </c>
      <c r="O64" s="15">
        <f t="shared" si="6"/>
        <v>0</v>
      </c>
      <c r="P64" s="87">
        <f t="shared" si="7"/>
        <v>9</v>
      </c>
      <c r="Q64" s="110">
        <v>0</v>
      </c>
      <c r="R64" s="59">
        <v>9</v>
      </c>
      <c r="S64" s="14">
        <v>0</v>
      </c>
      <c r="T64" s="59">
        <v>0</v>
      </c>
      <c r="U64" s="15">
        <f t="shared" si="8"/>
        <v>0</v>
      </c>
      <c r="V64" s="14">
        <v>0</v>
      </c>
      <c r="W64" s="15">
        <f t="shared" si="9"/>
        <v>0</v>
      </c>
      <c r="X64" s="14">
        <v>0</v>
      </c>
      <c r="Y64" s="75">
        <v>0</v>
      </c>
      <c r="Z64" s="87">
        <f t="shared" si="10"/>
        <v>0</v>
      </c>
      <c r="AA64" s="14">
        <f t="shared" si="11"/>
        <v>0</v>
      </c>
      <c r="AB64" s="75">
        <v>0</v>
      </c>
      <c r="AC64" s="75">
        <v>0</v>
      </c>
      <c r="AD64" s="59">
        <f t="shared" si="12"/>
        <v>0</v>
      </c>
      <c r="AE64" s="73">
        <v>0</v>
      </c>
      <c r="AF64" s="73">
        <v>0</v>
      </c>
      <c r="AG64" s="15">
        <f t="shared" si="13"/>
        <v>0</v>
      </c>
      <c r="AH64" s="16">
        <f t="shared" si="14"/>
        <v>0</v>
      </c>
      <c r="AI64" s="17">
        <f t="shared" si="15"/>
        <v>17</v>
      </c>
      <c r="AJ64" s="12">
        <f>VLOOKUP(A64,'PreK Proxy - Sept. 2024'!$A$2:$I$674,9,FALSE)</f>
        <v>9</v>
      </c>
      <c r="AK64" s="18">
        <f t="shared" si="16"/>
        <v>1</v>
      </c>
    </row>
    <row r="65" spans="1:37" x14ac:dyDescent="0.35">
      <c r="A65" s="11" t="s">
        <v>142</v>
      </c>
      <c r="B65" s="12" t="s">
        <v>143</v>
      </c>
      <c r="C65" s="54" t="s">
        <v>1369</v>
      </c>
      <c r="D65" s="54" t="s">
        <v>43</v>
      </c>
      <c r="E65" s="66">
        <f t="shared" si="0"/>
        <v>169</v>
      </c>
      <c r="F65" s="13">
        <f t="shared" si="1"/>
        <v>169</v>
      </c>
      <c r="G65" s="67">
        <f t="shared" si="2"/>
        <v>0</v>
      </c>
      <c r="H65" s="64">
        <f t="shared" si="3"/>
        <v>169</v>
      </c>
      <c r="I65" s="80">
        <v>0</v>
      </c>
      <c r="J65" s="80">
        <v>0</v>
      </c>
      <c r="K65" s="59">
        <f t="shared" si="4"/>
        <v>0</v>
      </c>
      <c r="L65" s="59">
        <v>65</v>
      </c>
      <c r="M65" s="59">
        <v>104</v>
      </c>
      <c r="N65" s="59">
        <f t="shared" si="5"/>
        <v>169</v>
      </c>
      <c r="O65" s="15">
        <f t="shared" si="6"/>
        <v>0</v>
      </c>
      <c r="P65" s="87">
        <f t="shared" si="7"/>
        <v>0</v>
      </c>
      <c r="Q65" s="110">
        <v>0</v>
      </c>
      <c r="R65" s="59">
        <v>0</v>
      </c>
      <c r="S65" s="14">
        <v>0</v>
      </c>
      <c r="T65" s="59">
        <v>0</v>
      </c>
      <c r="U65" s="15">
        <f t="shared" si="8"/>
        <v>0</v>
      </c>
      <c r="V65" s="14">
        <v>0</v>
      </c>
      <c r="W65" s="15">
        <f t="shared" si="9"/>
        <v>0</v>
      </c>
      <c r="X65" s="14">
        <v>0</v>
      </c>
      <c r="Y65" s="75">
        <v>0</v>
      </c>
      <c r="Z65" s="87">
        <f t="shared" si="10"/>
        <v>0</v>
      </c>
      <c r="AA65" s="14">
        <f t="shared" si="11"/>
        <v>0</v>
      </c>
      <c r="AB65" s="75">
        <v>0</v>
      </c>
      <c r="AC65" s="75">
        <v>0</v>
      </c>
      <c r="AD65" s="59">
        <f t="shared" si="12"/>
        <v>0</v>
      </c>
      <c r="AE65" s="73">
        <v>0</v>
      </c>
      <c r="AF65" s="73">
        <v>0</v>
      </c>
      <c r="AG65" s="15">
        <f t="shared" si="13"/>
        <v>0</v>
      </c>
      <c r="AH65" s="16">
        <f t="shared" si="14"/>
        <v>0</v>
      </c>
      <c r="AI65" s="17">
        <f t="shared" si="15"/>
        <v>104</v>
      </c>
      <c r="AJ65" s="12">
        <f>VLOOKUP(A65,'PreK Proxy - Sept. 2024'!$A$2:$I$674,9,FALSE)</f>
        <v>117</v>
      </c>
      <c r="AK65" s="18">
        <f t="shared" si="16"/>
        <v>0.88888888888888884</v>
      </c>
    </row>
    <row r="66" spans="1:37" x14ac:dyDescent="0.35">
      <c r="A66" s="11" t="s">
        <v>144</v>
      </c>
      <c r="B66" s="12" t="s">
        <v>145</v>
      </c>
      <c r="C66" s="54" t="s">
        <v>1369</v>
      </c>
      <c r="D66" s="54" t="s">
        <v>43</v>
      </c>
      <c r="E66" s="66">
        <f t="shared" si="0"/>
        <v>26</v>
      </c>
      <c r="F66" s="13">
        <f t="shared" si="1"/>
        <v>26</v>
      </c>
      <c r="G66" s="67">
        <f t="shared" si="2"/>
        <v>0</v>
      </c>
      <c r="H66" s="64">
        <f t="shared" si="3"/>
        <v>26</v>
      </c>
      <c r="I66" s="80">
        <v>0</v>
      </c>
      <c r="J66" s="80">
        <v>0</v>
      </c>
      <c r="K66" s="59">
        <f t="shared" si="4"/>
        <v>0</v>
      </c>
      <c r="L66" s="59">
        <v>0</v>
      </c>
      <c r="M66" s="59">
        <v>26</v>
      </c>
      <c r="N66" s="59">
        <f t="shared" si="5"/>
        <v>26</v>
      </c>
      <c r="O66" s="15">
        <f t="shared" si="6"/>
        <v>0</v>
      </c>
      <c r="P66" s="87">
        <f t="shared" si="7"/>
        <v>0</v>
      </c>
      <c r="Q66" s="110">
        <v>0</v>
      </c>
      <c r="R66" s="59">
        <v>0</v>
      </c>
      <c r="S66" s="14">
        <v>0</v>
      </c>
      <c r="T66" s="59">
        <v>0</v>
      </c>
      <c r="U66" s="15">
        <f t="shared" si="8"/>
        <v>0</v>
      </c>
      <c r="V66" s="14">
        <v>0</v>
      </c>
      <c r="W66" s="15">
        <f t="shared" si="9"/>
        <v>0</v>
      </c>
      <c r="X66" s="14">
        <v>0</v>
      </c>
      <c r="Y66" s="75">
        <v>0</v>
      </c>
      <c r="Z66" s="87">
        <f t="shared" si="10"/>
        <v>0</v>
      </c>
      <c r="AA66" s="14">
        <f t="shared" si="11"/>
        <v>0</v>
      </c>
      <c r="AB66" s="75">
        <v>0</v>
      </c>
      <c r="AC66" s="75">
        <v>0</v>
      </c>
      <c r="AD66" s="59">
        <f t="shared" si="12"/>
        <v>0</v>
      </c>
      <c r="AE66" s="73">
        <v>0</v>
      </c>
      <c r="AF66" s="73">
        <v>0</v>
      </c>
      <c r="AG66" s="15">
        <f t="shared" si="13"/>
        <v>0</v>
      </c>
      <c r="AH66" s="16">
        <f t="shared" si="14"/>
        <v>0</v>
      </c>
      <c r="AI66" s="17">
        <f t="shared" si="15"/>
        <v>26</v>
      </c>
      <c r="AJ66" s="12">
        <f>VLOOKUP(A66,'PreK Proxy - Sept. 2024'!$A$2:$I$674,9,FALSE)</f>
        <v>31</v>
      </c>
      <c r="AK66" s="18">
        <f t="shared" si="16"/>
        <v>0.83870967741935487</v>
      </c>
    </row>
    <row r="67" spans="1:37" x14ac:dyDescent="0.35">
      <c r="A67" s="11" t="s">
        <v>146</v>
      </c>
      <c r="B67" s="12" t="s">
        <v>147</v>
      </c>
      <c r="C67" s="54" t="s">
        <v>1369</v>
      </c>
      <c r="D67" s="54" t="s">
        <v>43</v>
      </c>
      <c r="E67" s="66">
        <f t="shared" si="0"/>
        <v>51</v>
      </c>
      <c r="F67" s="13">
        <f t="shared" si="1"/>
        <v>51</v>
      </c>
      <c r="G67" s="67">
        <f t="shared" si="2"/>
        <v>0</v>
      </c>
      <c r="H67" s="64">
        <f t="shared" si="3"/>
        <v>51</v>
      </c>
      <c r="I67" s="80">
        <v>0</v>
      </c>
      <c r="J67" s="80">
        <v>0</v>
      </c>
      <c r="K67" s="59">
        <f t="shared" si="4"/>
        <v>0</v>
      </c>
      <c r="L67" s="59">
        <v>0</v>
      </c>
      <c r="M67" s="59">
        <v>51</v>
      </c>
      <c r="N67" s="59">
        <f t="shared" si="5"/>
        <v>51</v>
      </c>
      <c r="O67" s="15">
        <f t="shared" si="6"/>
        <v>0</v>
      </c>
      <c r="P67" s="87">
        <f t="shared" si="7"/>
        <v>0</v>
      </c>
      <c r="Q67" s="110">
        <v>0</v>
      </c>
      <c r="R67" s="59">
        <v>0</v>
      </c>
      <c r="S67" s="14">
        <v>0</v>
      </c>
      <c r="T67" s="59">
        <v>0</v>
      </c>
      <c r="U67" s="15">
        <f t="shared" si="8"/>
        <v>0</v>
      </c>
      <c r="V67" s="14">
        <v>0</v>
      </c>
      <c r="W67" s="15">
        <f t="shared" si="9"/>
        <v>0</v>
      </c>
      <c r="X67" s="14">
        <v>0</v>
      </c>
      <c r="Y67" s="75">
        <v>0</v>
      </c>
      <c r="Z67" s="87">
        <f t="shared" si="10"/>
        <v>0</v>
      </c>
      <c r="AA67" s="14">
        <f t="shared" si="11"/>
        <v>0</v>
      </c>
      <c r="AB67" s="75">
        <v>0</v>
      </c>
      <c r="AC67" s="75">
        <v>0</v>
      </c>
      <c r="AD67" s="59">
        <f t="shared" si="12"/>
        <v>0</v>
      </c>
      <c r="AE67" s="73">
        <v>0</v>
      </c>
      <c r="AF67" s="73">
        <v>0</v>
      </c>
      <c r="AG67" s="15">
        <f t="shared" si="13"/>
        <v>0</v>
      </c>
      <c r="AH67" s="16">
        <f t="shared" si="14"/>
        <v>0</v>
      </c>
      <c r="AI67" s="17">
        <f t="shared" si="15"/>
        <v>51</v>
      </c>
      <c r="AJ67" s="12">
        <f>VLOOKUP(A67,'PreK Proxy - Sept. 2024'!$A$2:$I$674,9,FALSE)</f>
        <v>63</v>
      </c>
      <c r="AK67" s="18">
        <f t="shared" si="16"/>
        <v>0.80952380952380953</v>
      </c>
    </row>
    <row r="68" spans="1:37" x14ac:dyDescent="0.35">
      <c r="A68" s="11" t="s">
        <v>148</v>
      </c>
      <c r="B68" s="12" t="s">
        <v>149</v>
      </c>
      <c r="C68" s="54" t="s">
        <v>1369</v>
      </c>
      <c r="D68" s="54" t="s">
        <v>43</v>
      </c>
      <c r="E68" s="66">
        <f t="shared" si="0"/>
        <v>47</v>
      </c>
      <c r="F68" s="13">
        <f t="shared" si="1"/>
        <v>47</v>
      </c>
      <c r="G68" s="67">
        <f t="shared" si="2"/>
        <v>0</v>
      </c>
      <c r="H68" s="64">
        <f t="shared" ref="H68:H131" si="17">K68+N68</f>
        <v>29</v>
      </c>
      <c r="I68" s="80">
        <v>0</v>
      </c>
      <c r="J68" s="80">
        <v>0</v>
      </c>
      <c r="K68" s="59">
        <f t="shared" si="4"/>
        <v>0</v>
      </c>
      <c r="L68" s="59">
        <v>0</v>
      </c>
      <c r="M68" s="59">
        <v>29</v>
      </c>
      <c r="N68" s="59">
        <f t="shared" si="5"/>
        <v>29</v>
      </c>
      <c r="O68" s="15">
        <f t="shared" si="6"/>
        <v>0</v>
      </c>
      <c r="P68" s="87">
        <f t="shared" si="7"/>
        <v>0</v>
      </c>
      <c r="Q68" s="110">
        <v>0</v>
      </c>
      <c r="R68" s="59">
        <v>0</v>
      </c>
      <c r="S68" s="14">
        <v>18</v>
      </c>
      <c r="T68" s="59">
        <v>0</v>
      </c>
      <c r="U68" s="15">
        <f t="shared" si="8"/>
        <v>18</v>
      </c>
      <c r="V68" s="14">
        <v>0</v>
      </c>
      <c r="W68" s="15">
        <f t="shared" si="9"/>
        <v>0</v>
      </c>
      <c r="X68" s="14">
        <v>0</v>
      </c>
      <c r="Y68" s="75">
        <v>0</v>
      </c>
      <c r="Z68" s="87">
        <f t="shared" si="10"/>
        <v>0</v>
      </c>
      <c r="AA68" s="14">
        <f t="shared" si="11"/>
        <v>0</v>
      </c>
      <c r="AB68" s="75">
        <v>0</v>
      </c>
      <c r="AC68" s="75">
        <v>0</v>
      </c>
      <c r="AD68" s="59">
        <f t="shared" si="12"/>
        <v>0</v>
      </c>
      <c r="AE68" s="73">
        <v>0</v>
      </c>
      <c r="AF68" s="73">
        <v>0</v>
      </c>
      <c r="AG68" s="15">
        <f t="shared" si="13"/>
        <v>0</v>
      </c>
      <c r="AH68" s="16">
        <f t="shared" si="14"/>
        <v>0</v>
      </c>
      <c r="AI68" s="17">
        <f t="shared" si="15"/>
        <v>47</v>
      </c>
      <c r="AJ68" s="12">
        <f>VLOOKUP(A68,'PreK Proxy - Sept. 2024'!$A$2:$I$674,9,FALSE)</f>
        <v>48</v>
      </c>
      <c r="AK68" s="18">
        <f t="shared" si="16"/>
        <v>0.97916666666666663</v>
      </c>
    </row>
    <row r="69" spans="1:37" x14ac:dyDescent="0.35">
      <c r="A69" s="11" t="s">
        <v>150</v>
      </c>
      <c r="B69" s="12" t="s">
        <v>151</v>
      </c>
      <c r="C69" s="54" t="s">
        <v>1369</v>
      </c>
      <c r="D69" s="54" t="s">
        <v>43</v>
      </c>
      <c r="E69" s="66">
        <f t="shared" ref="E69:E132" si="18">F69+G69</f>
        <v>18</v>
      </c>
      <c r="F69" s="13">
        <f t="shared" ref="F69:F132" si="19">N69+R69+S69+V69+X69+AG69</f>
        <v>18</v>
      </c>
      <c r="G69" s="67">
        <f t="shared" ref="G69:G132" si="20">K69+Q69+AD69</f>
        <v>0</v>
      </c>
      <c r="H69" s="64">
        <f t="shared" si="17"/>
        <v>18</v>
      </c>
      <c r="I69" s="80">
        <v>0</v>
      </c>
      <c r="J69" s="80">
        <v>0</v>
      </c>
      <c r="K69" s="59">
        <f t="shared" ref="K69:K132" si="21">I69+J69</f>
        <v>0</v>
      </c>
      <c r="L69" s="59">
        <v>0</v>
      </c>
      <c r="M69" s="59">
        <v>18</v>
      </c>
      <c r="N69" s="59">
        <f t="shared" ref="N69:N132" si="22">L69+M69</f>
        <v>18</v>
      </c>
      <c r="O69" s="15">
        <f t="shared" ref="O69:O132" si="23">T69+Y69</f>
        <v>0</v>
      </c>
      <c r="P69" s="87">
        <f t="shared" ref="P69:P132" si="24">Q69+R69</f>
        <v>0</v>
      </c>
      <c r="Q69" s="110">
        <v>0</v>
      </c>
      <c r="R69" s="59">
        <v>0</v>
      </c>
      <c r="S69" s="14">
        <v>0</v>
      </c>
      <c r="T69" s="59">
        <v>0</v>
      </c>
      <c r="U69" s="15">
        <f t="shared" ref="U69:U132" si="25">S69+T69</f>
        <v>0</v>
      </c>
      <c r="V69" s="14">
        <v>0</v>
      </c>
      <c r="W69" s="15">
        <f t="shared" ref="W69:W132" si="26">V69</f>
        <v>0</v>
      </c>
      <c r="X69" s="14">
        <v>0</v>
      </c>
      <c r="Y69" s="75">
        <v>0</v>
      </c>
      <c r="Z69" s="87">
        <f t="shared" ref="Z69:Z132" si="27">X69+Y69</f>
        <v>0</v>
      </c>
      <c r="AA69" s="14">
        <f t="shared" ref="AA69:AA132" si="28">AD69+AG69</f>
        <v>0</v>
      </c>
      <c r="AB69" s="75">
        <v>0</v>
      </c>
      <c r="AC69" s="75">
        <v>0</v>
      </c>
      <c r="AD69" s="59">
        <f t="shared" ref="AD69:AD132" si="29">AB69+AC69</f>
        <v>0</v>
      </c>
      <c r="AE69" s="73">
        <v>0</v>
      </c>
      <c r="AF69" s="73">
        <v>0</v>
      </c>
      <c r="AG69" s="15">
        <f t="shared" ref="AG69:AG132" si="30">AE69+AF69</f>
        <v>0</v>
      </c>
      <c r="AH69" s="16">
        <f t="shared" ref="AH69:AH132" si="31">J69+Q69+AC69</f>
        <v>0</v>
      </c>
      <c r="AI69" s="17">
        <f t="shared" ref="AI69:AI132" si="32">M69+R69+S69+V69+X69+AF69</f>
        <v>18</v>
      </c>
      <c r="AJ69" s="12">
        <f>VLOOKUP(A69,'PreK Proxy - Sept. 2024'!$A$2:$I$674,9,FALSE)</f>
        <v>26</v>
      </c>
      <c r="AK69" s="18">
        <f t="shared" ref="AK69:AK132" si="33">IFERROR(MIN(100%,((AI69+AH69)/AJ69)),0)</f>
        <v>0.69230769230769229</v>
      </c>
    </row>
    <row r="70" spans="1:37" x14ac:dyDescent="0.35">
      <c r="A70" s="11" t="s">
        <v>152</v>
      </c>
      <c r="B70" s="12" t="s">
        <v>153</v>
      </c>
      <c r="C70" s="54" t="s">
        <v>1369</v>
      </c>
      <c r="D70" s="54" t="s">
        <v>43</v>
      </c>
      <c r="E70" s="66">
        <f t="shared" si="18"/>
        <v>18</v>
      </c>
      <c r="F70" s="13">
        <f t="shared" si="19"/>
        <v>18</v>
      </c>
      <c r="G70" s="67">
        <f t="shared" si="20"/>
        <v>0</v>
      </c>
      <c r="H70" s="64">
        <f t="shared" si="17"/>
        <v>8</v>
      </c>
      <c r="I70" s="80">
        <v>0</v>
      </c>
      <c r="J70" s="80">
        <v>0</v>
      </c>
      <c r="K70" s="59">
        <f t="shared" si="21"/>
        <v>0</v>
      </c>
      <c r="L70" s="59">
        <v>0</v>
      </c>
      <c r="M70" s="59">
        <v>8</v>
      </c>
      <c r="N70" s="59">
        <f t="shared" si="22"/>
        <v>8</v>
      </c>
      <c r="O70" s="15">
        <f t="shared" si="23"/>
        <v>0</v>
      </c>
      <c r="P70" s="87">
        <f t="shared" si="24"/>
        <v>0</v>
      </c>
      <c r="Q70" s="110">
        <v>0</v>
      </c>
      <c r="R70" s="59">
        <v>0</v>
      </c>
      <c r="S70" s="14">
        <v>0</v>
      </c>
      <c r="T70" s="59">
        <v>0</v>
      </c>
      <c r="U70" s="15">
        <f t="shared" si="25"/>
        <v>0</v>
      </c>
      <c r="V70" s="14">
        <v>0</v>
      </c>
      <c r="W70" s="15">
        <f t="shared" si="26"/>
        <v>0</v>
      </c>
      <c r="X70" s="14">
        <v>10</v>
      </c>
      <c r="Y70" s="75">
        <v>0</v>
      </c>
      <c r="Z70" s="87">
        <f t="shared" si="27"/>
        <v>10</v>
      </c>
      <c r="AA70" s="14">
        <f t="shared" si="28"/>
        <v>0</v>
      </c>
      <c r="AB70" s="75">
        <v>0</v>
      </c>
      <c r="AC70" s="75">
        <v>0</v>
      </c>
      <c r="AD70" s="59">
        <f t="shared" si="29"/>
        <v>0</v>
      </c>
      <c r="AE70" s="73">
        <v>0</v>
      </c>
      <c r="AF70" s="73">
        <v>0</v>
      </c>
      <c r="AG70" s="15">
        <f t="shared" si="30"/>
        <v>0</v>
      </c>
      <c r="AH70" s="16">
        <f t="shared" si="31"/>
        <v>0</v>
      </c>
      <c r="AI70" s="17">
        <f t="shared" si="32"/>
        <v>18</v>
      </c>
      <c r="AJ70" s="12">
        <f>VLOOKUP(A70,'PreK Proxy - Sept. 2024'!$A$2:$I$674,9,FALSE)</f>
        <v>22</v>
      </c>
      <c r="AK70" s="18">
        <f t="shared" si="33"/>
        <v>0.81818181818181823</v>
      </c>
    </row>
    <row r="71" spans="1:37" x14ac:dyDescent="0.35">
      <c r="A71" s="11" t="s">
        <v>154</v>
      </c>
      <c r="B71" s="12" t="s">
        <v>155</v>
      </c>
      <c r="C71" s="54" t="s">
        <v>1369</v>
      </c>
      <c r="D71" s="54" t="s">
        <v>43</v>
      </c>
      <c r="E71" s="66">
        <f t="shared" si="18"/>
        <v>359</v>
      </c>
      <c r="F71" s="13">
        <f t="shared" si="19"/>
        <v>288</v>
      </c>
      <c r="G71" s="67">
        <f t="shared" si="20"/>
        <v>71</v>
      </c>
      <c r="H71" s="64">
        <f t="shared" si="17"/>
        <v>359</v>
      </c>
      <c r="I71" s="80">
        <v>30</v>
      </c>
      <c r="J71" s="80">
        <v>41</v>
      </c>
      <c r="K71" s="59">
        <f t="shared" si="21"/>
        <v>71</v>
      </c>
      <c r="L71" s="59">
        <v>76</v>
      </c>
      <c r="M71" s="59">
        <v>212</v>
      </c>
      <c r="N71" s="59">
        <f t="shared" si="22"/>
        <v>288</v>
      </c>
      <c r="O71" s="15">
        <f t="shared" si="23"/>
        <v>0</v>
      </c>
      <c r="P71" s="87">
        <f t="shared" si="24"/>
        <v>0</v>
      </c>
      <c r="Q71" s="110">
        <v>0</v>
      </c>
      <c r="R71" s="59">
        <v>0</v>
      </c>
      <c r="S71" s="14">
        <v>0</v>
      </c>
      <c r="T71" s="59">
        <v>0</v>
      </c>
      <c r="U71" s="15">
        <f t="shared" si="25"/>
        <v>0</v>
      </c>
      <c r="V71" s="14">
        <v>0</v>
      </c>
      <c r="W71" s="15">
        <f t="shared" si="26"/>
        <v>0</v>
      </c>
      <c r="X71" s="14">
        <v>0</v>
      </c>
      <c r="Y71" s="75">
        <v>0</v>
      </c>
      <c r="Z71" s="87">
        <f t="shared" si="27"/>
        <v>0</v>
      </c>
      <c r="AA71" s="14">
        <f t="shared" si="28"/>
        <v>0</v>
      </c>
      <c r="AB71" s="75">
        <v>0</v>
      </c>
      <c r="AC71" s="75">
        <v>0</v>
      </c>
      <c r="AD71" s="59">
        <f t="shared" si="29"/>
        <v>0</v>
      </c>
      <c r="AE71" s="73">
        <v>0</v>
      </c>
      <c r="AF71" s="73">
        <v>0</v>
      </c>
      <c r="AG71" s="15">
        <f t="shared" si="30"/>
        <v>0</v>
      </c>
      <c r="AH71" s="16">
        <f t="shared" si="31"/>
        <v>41</v>
      </c>
      <c r="AI71" s="17">
        <f t="shared" si="32"/>
        <v>212</v>
      </c>
      <c r="AJ71" s="12">
        <f>VLOOKUP(A71,'PreK Proxy - Sept. 2024'!$A$2:$I$674,9,FALSE)</f>
        <v>274</v>
      </c>
      <c r="AK71" s="18">
        <f t="shared" si="33"/>
        <v>0.92335766423357668</v>
      </c>
    </row>
    <row r="72" spans="1:37" x14ac:dyDescent="0.35">
      <c r="A72" s="11" t="s">
        <v>156</v>
      </c>
      <c r="B72" s="12" t="s">
        <v>157</v>
      </c>
      <c r="C72" s="54" t="s">
        <v>1369</v>
      </c>
      <c r="D72" s="54" t="s">
        <v>43</v>
      </c>
      <c r="E72" s="66">
        <f t="shared" si="18"/>
        <v>63</v>
      </c>
      <c r="F72" s="13">
        <f t="shared" si="19"/>
        <v>59</v>
      </c>
      <c r="G72" s="67">
        <f t="shared" si="20"/>
        <v>4</v>
      </c>
      <c r="H72" s="64">
        <f t="shared" si="17"/>
        <v>63</v>
      </c>
      <c r="I72" s="80">
        <v>0</v>
      </c>
      <c r="J72" s="80">
        <v>4</v>
      </c>
      <c r="K72" s="59">
        <f t="shared" si="21"/>
        <v>4</v>
      </c>
      <c r="L72" s="59">
        <v>0</v>
      </c>
      <c r="M72" s="59">
        <v>59</v>
      </c>
      <c r="N72" s="59">
        <f t="shared" si="22"/>
        <v>59</v>
      </c>
      <c r="O72" s="15">
        <f t="shared" si="23"/>
        <v>0</v>
      </c>
      <c r="P72" s="87">
        <f t="shared" si="24"/>
        <v>0</v>
      </c>
      <c r="Q72" s="110">
        <v>0</v>
      </c>
      <c r="R72" s="59">
        <v>0</v>
      </c>
      <c r="S72" s="14">
        <v>0</v>
      </c>
      <c r="T72" s="59">
        <v>0</v>
      </c>
      <c r="U72" s="15">
        <f t="shared" si="25"/>
        <v>0</v>
      </c>
      <c r="V72" s="14">
        <v>0</v>
      </c>
      <c r="W72" s="15">
        <f t="shared" si="26"/>
        <v>0</v>
      </c>
      <c r="X72" s="14">
        <v>0</v>
      </c>
      <c r="Y72" s="75">
        <v>0</v>
      </c>
      <c r="Z72" s="87">
        <f t="shared" si="27"/>
        <v>0</v>
      </c>
      <c r="AA72" s="14">
        <f t="shared" si="28"/>
        <v>0</v>
      </c>
      <c r="AB72" s="75">
        <v>0</v>
      </c>
      <c r="AC72" s="75">
        <v>0</v>
      </c>
      <c r="AD72" s="59">
        <f t="shared" si="29"/>
        <v>0</v>
      </c>
      <c r="AE72" s="73">
        <v>0</v>
      </c>
      <c r="AF72" s="73">
        <v>0</v>
      </c>
      <c r="AG72" s="15">
        <f t="shared" si="30"/>
        <v>0</v>
      </c>
      <c r="AH72" s="16">
        <f t="shared" si="31"/>
        <v>4</v>
      </c>
      <c r="AI72" s="17">
        <f t="shared" si="32"/>
        <v>59</v>
      </c>
      <c r="AJ72" s="12">
        <f>VLOOKUP(A72,'PreK Proxy - Sept. 2024'!$A$2:$I$674,9,FALSE)</f>
        <v>77</v>
      </c>
      <c r="AK72" s="18">
        <f t="shared" si="33"/>
        <v>0.81818181818181823</v>
      </c>
    </row>
    <row r="73" spans="1:37" x14ac:dyDescent="0.35">
      <c r="A73" s="11" t="s">
        <v>158</v>
      </c>
      <c r="B73" s="12" t="s">
        <v>159</v>
      </c>
      <c r="C73" s="54" t="s">
        <v>1369</v>
      </c>
      <c r="D73" s="54" t="s">
        <v>43</v>
      </c>
      <c r="E73" s="66">
        <f t="shared" si="18"/>
        <v>47</v>
      </c>
      <c r="F73" s="13">
        <f t="shared" si="19"/>
        <v>47</v>
      </c>
      <c r="G73" s="67">
        <f t="shared" si="20"/>
        <v>0</v>
      </c>
      <c r="H73" s="64">
        <f t="shared" si="17"/>
        <v>47</v>
      </c>
      <c r="I73" s="80">
        <v>0</v>
      </c>
      <c r="J73" s="80">
        <v>0</v>
      </c>
      <c r="K73" s="59">
        <f t="shared" si="21"/>
        <v>0</v>
      </c>
      <c r="L73" s="59">
        <v>13</v>
      </c>
      <c r="M73" s="59">
        <v>34</v>
      </c>
      <c r="N73" s="59">
        <f t="shared" si="22"/>
        <v>47</v>
      </c>
      <c r="O73" s="15">
        <f t="shared" si="23"/>
        <v>0</v>
      </c>
      <c r="P73" s="87">
        <f t="shared" si="24"/>
        <v>0</v>
      </c>
      <c r="Q73" s="110">
        <v>0</v>
      </c>
      <c r="R73" s="59">
        <v>0</v>
      </c>
      <c r="S73" s="14">
        <v>0</v>
      </c>
      <c r="T73" s="59">
        <v>0</v>
      </c>
      <c r="U73" s="15">
        <f t="shared" si="25"/>
        <v>0</v>
      </c>
      <c r="V73" s="14">
        <v>0</v>
      </c>
      <c r="W73" s="15">
        <f t="shared" si="26"/>
        <v>0</v>
      </c>
      <c r="X73" s="14">
        <v>0</v>
      </c>
      <c r="Y73" s="75">
        <v>0</v>
      </c>
      <c r="Z73" s="87">
        <f t="shared" si="27"/>
        <v>0</v>
      </c>
      <c r="AA73" s="14">
        <f t="shared" si="28"/>
        <v>0</v>
      </c>
      <c r="AB73" s="75">
        <v>0</v>
      </c>
      <c r="AC73" s="75">
        <v>0</v>
      </c>
      <c r="AD73" s="59">
        <f t="shared" si="29"/>
        <v>0</v>
      </c>
      <c r="AE73" s="73">
        <v>0</v>
      </c>
      <c r="AF73" s="73">
        <v>0</v>
      </c>
      <c r="AG73" s="15">
        <f t="shared" si="30"/>
        <v>0</v>
      </c>
      <c r="AH73" s="16">
        <f t="shared" si="31"/>
        <v>0</v>
      </c>
      <c r="AI73" s="17">
        <f t="shared" si="32"/>
        <v>34</v>
      </c>
      <c r="AJ73" s="12">
        <f>VLOOKUP(A73,'PreK Proxy - Sept. 2024'!$A$2:$I$674,9,FALSE)</f>
        <v>22</v>
      </c>
      <c r="AK73" s="18">
        <f t="shared" si="33"/>
        <v>1</v>
      </c>
    </row>
    <row r="74" spans="1:37" x14ac:dyDescent="0.35">
      <c r="A74" s="11" t="s">
        <v>160</v>
      </c>
      <c r="B74" s="12" t="s">
        <v>161</v>
      </c>
      <c r="C74" s="54" t="s">
        <v>1369</v>
      </c>
      <c r="D74" s="54" t="s">
        <v>43</v>
      </c>
      <c r="E74" s="66">
        <f t="shared" si="18"/>
        <v>28</v>
      </c>
      <c r="F74" s="13">
        <f t="shared" si="19"/>
        <v>28</v>
      </c>
      <c r="G74" s="67">
        <f t="shared" si="20"/>
        <v>0</v>
      </c>
      <c r="H74" s="64">
        <f t="shared" si="17"/>
        <v>28</v>
      </c>
      <c r="I74" s="80">
        <v>0</v>
      </c>
      <c r="J74" s="80">
        <v>0</v>
      </c>
      <c r="K74" s="59">
        <f t="shared" si="21"/>
        <v>0</v>
      </c>
      <c r="L74" s="59">
        <v>10</v>
      </c>
      <c r="M74" s="59">
        <v>18</v>
      </c>
      <c r="N74" s="59">
        <f t="shared" si="22"/>
        <v>28</v>
      </c>
      <c r="O74" s="15">
        <f t="shared" si="23"/>
        <v>0</v>
      </c>
      <c r="P74" s="87">
        <f t="shared" si="24"/>
        <v>0</v>
      </c>
      <c r="Q74" s="110">
        <v>0</v>
      </c>
      <c r="R74" s="59">
        <v>0</v>
      </c>
      <c r="S74" s="14">
        <v>0</v>
      </c>
      <c r="T74" s="59">
        <v>0</v>
      </c>
      <c r="U74" s="15">
        <f t="shared" si="25"/>
        <v>0</v>
      </c>
      <c r="V74" s="14">
        <v>0</v>
      </c>
      <c r="W74" s="15">
        <f t="shared" si="26"/>
        <v>0</v>
      </c>
      <c r="X74" s="14">
        <v>0</v>
      </c>
      <c r="Y74" s="75">
        <v>0</v>
      </c>
      <c r="Z74" s="87">
        <f t="shared" si="27"/>
        <v>0</v>
      </c>
      <c r="AA74" s="14">
        <f t="shared" si="28"/>
        <v>0</v>
      </c>
      <c r="AB74" s="75">
        <v>0</v>
      </c>
      <c r="AC74" s="75">
        <v>0</v>
      </c>
      <c r="AD74" s="59">
        <f t="shared" si="29"/>
        <v>0</v>
      </c>
      <c r="AE74" s="73">
        <v>0</v>
      </c>
      <c r="AF74" s="73">
        <v>0</v>
      </c>
      <c r="AG74" s="15">
        <f t="shared" si="30"/>
        <v>0</v>
      </c>
      <c r="AH74" s="16">
        <f t="shared" si="31"/>
        <v>0</v>
      </c>
      <c r="AI74" s="17">
        <f t="shared" si="32"/>
        <v>18</v>
      </c>
      <c r="AJ74" s="12">
        <f>VLOOKUP(A74,'PreK Proxy - Sept. 2024'!$A$2:$I$674,9,FALSE)</f>
        <v>17</v>
      </c>
      <c r="AK74" s="18">
        <f t="shared" si="33"/>
        <v>1</v>
      </c>
    </row>
    <row r="75" spans="1:37" x14ac:dyDescent="0.35">
      <c r="A75" s="11" t="s">
        <v>162</v>
      </c>
      <c r="B75" s="12" t="s">
        <v>163</v>
      </c>
      <c r="C75" s="54" t="s">
        <v>1369</v>
      </c>
      <c r="D75" s="54" t="s">
        <v>43</v>
      </c>
      <c r="E75" s="66">
        <f t="shared" si="18"/>
        <v>14</v>
      </c>
      <c r="F75" s="13">
        <f t="shared" si="19"/>
        <v>14</v>
      </c>
      <c r="G75" s="67">
        <f t="shared" si="20"/>
        <v>0</v>
      </c>
      <c r="H75" s="64">
        <f t="shared" si="17"/>
        <v>12</v>
      </c>
      <c r="I75" s="80">
        <v>0</v>
      </c>
      <c r="J75" s="80">
        <v>0</v>
      </c>
      <c r="K75" s="59">
        <f t="shared" si="21"/>
        <v>0</v>
      </c>
      <c r="L75" s="59">
        <v>0</v>
      </c>
      <c r="M75" s="59">
        <v>12</v>
      </c>
      <c r="N75" s="59">
        <f t="shared" si="22"/>
        <v>12</v>
      </c>
      <c r="O75" s="15">
        <f t="shared" si="23"/>
        <v>0</v>
      </c>
      <c r="P75" s="87">
        <f t="shared" si="24"/>
        <v>0</v>
      </c>
      <c r="Q75" s="110">
        <v>0</v>
      </c>
      <c r="R75" s="59">
        <v>0</v>
      </c>
      <c r="S75" s="14">
        <v>2</v>
      </c>
      <c r="T75" s="59">
        <v>0</v>
      </c>
      <c r="U75" s="15">
        <f t="shared" si="25"/>
        <v>2</v>
      </c>
      <c r="V75" s="14">
        <v>0</v>
      </c>
      <c r="W75" s="15">
        <f t="shared" si="26"/>
        <v>0</v>
      </c>
      <c r="X75" s="14">
        <v>0</v>
      </c>
      <c r="Y75" s="75">
        <v>0</v>
      </c>
      <c r="Z75" s="87">
        <f t="shared" si="27"/>
        <v>0</v>
      </c>
      <c r="AA75" s="14">
        <f t="shared" si="28"/>
        <v>0</v>
      </c>
      <c r="AB75" s="75">
        <v>0</v>
      </c>
      <c r="AC75" s="75">
        <v>0</v>
      </c>
      <c r="AD75" s="59">
        <f t="shared" si="29"/>
        <v>0</v>
      </c>
      <c r="AE75" s="73">
        <v>0</v>
      </c>
      <c r="AF75" s="73">
        <v>0</v>
      </c>
      <c r="AG75" s="15">
        <f t="shared" si="30"/>
        <v>0</v>
      </c>
      <c r="AH75" s="16">
        <f t="shared" si="31"/>
        <v>0</v>
      </c>
      <c r="AI75" s="17">
        <f t="shared" si="32"/>
        <v>14</v>
      </c>
      <c r="AJ75" s="12">
        <f>VLOOKUP(A75,'PreK Proxy - Sept. 2024'!$A$2:$I$674,9,FALSE)</f>
        <v>24</v>
      </c>
      <c r="AK75" s="18">
        <f t="shared" si="33"/>
        <v>0.58333333333333337</v>
      </c>
    </row>
    <row r="76" spans="1:37" x14ac:dyDescent="0.35">
      <c r="A76" s="11" t="s">
        <v>164</v>
      </c>
      <c r="B76" s="12" t="s">
        <v>165</v>
      </c>
      <c r="C76" s="54" t="s">
        <v>1369</v>
      </c>
      <c r="D76" s="54" t="s">
        <v>43</v>
      </c>
      <c r="E76" s="66">
        <f t="shared" si="18"/>
        <v>35</v>
      </c>
      <c r="F76" s="13">
        <f t="shared" si="19"/>
        <v>35</v>
      </c>
      <c r="G76" s="67">
        <f t="shared" si="20"/>
        <v>0</v>
      </c>
      <c r="H76" s="64">
        <f t="shared" si="17"/>
        <v>35</v>
      </c>
      <c r="I76" s="80">
        <v>0</v>
      </c>
      <c r="J76" s="80">
        <v>0</v>
      </c>
      <c r="K76" s="59">
        <f t="shared" si="21"/>
        <v>0</v>
      </c>
      <c r="L76" s="59">
        <v>2</v>
      </c>
      <c r="M76" s="59">
        <v>33</v>
      </c>
      <c r="N76" s="59">
        <f t="shared" si="22"/>
        <v>35</v>
      </c>
      <c r="O76" s="15">
        <f t="shared" si="23"/>
        <v>0</v>
      </c>
      <c r="P76" s="87">
        <f t="shared" si="24"/>
        <v>0</v>
      </c>
      <c r="Q76" s="110">
        <v>0</v>
      </c>
      <c r="R76" s="59">
        <v>0</v>
      </c>
      <c r="S76" s="14">
        <v>0</v>
      </c>
      <c r="T76" s="59">
        <v>0</v>
      </c>
      <c r="U76" s="15">
        <f t="shared" si="25"/>
        <v>0</v>
      </c>
      <c r="V76" s="14">
        <v>0</v>
      </c>
      <c r="W76" s="15">
        <f t="shared" si="26"/>
        <v>0</v>
      </c>
      <c r="X76" s="14">
        <v>0</v>
      </c>
      <c r="Y76" s="75">
        <v>0</v>
      </c>
      <c r="Z76" s="87">
        <f t="shared" si="27"/>
        <v>0</v>
      </c>
      <c r="AA76" s="14">
        <f t="shared" si="28"/>
        <v>0</v>
      </c>
      <c r="AB76" s="75">
        <v>0</v>
      </c>
      <c r="AC76" s="75">
        <v>0</v>
      </c>
      <c r="AD76" s="59">
        <f t="shared" si="29"/>
        <v>0</v>
      </c>
      <c r="AE76" s="73">
        <v>0</v>
      </c>
      <c r="AF76" s="73">
        <v>0</v>
      </c>
      <c r="AG76" s="15">
        <f t="shared" si="30"/>
        <v>0</v>
      </c>
      <c r="AH76" s="16">
        <f t="shared" si="31"/>
        <v>0</v>
      </c>
      <c r="AI76" s="17">
        <f t="shared" si="32"/>
        <v>33</v>
      </c>
      <c r="AJ76" s="12">
        <f>VLOOKUP(A76,'PreK Proxy - Sept. 2024'!$A$2:$I$674,9,FALSE)</f>
        <v>28</v>
      </c>
      <c r="AK76" s="18">
        <f t="shared" si="33"/>
        <v>1</v>
      </c>
    </row>
    <row r="77" spans="1:37" x14ac:dyDescent="0.35">
      <c r="A77" s="11" t="s">
        <v>166</v>
      </c>
      <c r="B77" s="12" t="s">
        <v>167</v>
      </c>
      <c r="C77" s="54" t="s">
        <v>1467</v>
      </c>
      <c r="D77" s="54" t="s">
        <v>68</v>
      </c>
      <c r="E77" s="66">
        <f t="shared" si="18"/>
        <v>290</v>
      </c>
      <c r="F77" s="13">
        <f t="shared" si="19"/>
        <v>274</v>
      </c>
      <c r="G77" s="67">
        <f t="shared" si="20"/>
        <v>16</v>
      </c>
      <c r="H77" s="64">
        <f t="shared" si="17"/>
        <v>290</v>
      </c>
      <c r="I77" s="80">
        <v>0</v>
      </c>
      <c r="J77" s="80">
        <v>16</v>
      </c>
      <c r="K77" s="59">
        <f t="shared" si="21"/>
        <v>16</v>
      </c>
      <c r="L77" s="59">
        <v>0</v>
      </c>
      <c r="M77" s="59">
        <v>274</v>
      </c>
      <c r="N77" s="59">
        <f t="shared" si="22"/>
        <v>274</v>
      </c>
      <c r="O77" s="15">
        <f t="shared" si="23"/>
        <v>0</v>
      </c>
      <c r="P77" s="87">
        <f t="shared" si="24"/>
        <v>0</v>
      </c>
      <c r="Q77" s="110">
        <v>0</v>
      </c>
      <c r="R77" s="59">
        <v>0</v>
      </c>
      <c r="S77" s="14">
        <v>0</v>
      </c>
      <c r="T77" s="59">
        <v>0</v>
      </c>
      <c r="U77" s="15">
        <f t="shared" si="25"/>
        <v>0</v>
      </c>
      <c r="V77" s="14">
        <v>0</v>
      </c>
      <c r="W77" s="15">
        <f t="shared" si="26"/>
        <v>0</v>
      </c>
      <c r="X77" s="14">
        <v>0</v>
      </c>
      <c r="Y77" s="75">
        <v>0</v>
      </c>
      <c r="Z77" s="87">
        <f t="shared" si="27"/>
        <v>0</v>
      </c>
      <c r="AA77" s="14">
        <f t="shared" si="28"/>
        <v>0</v>
      </c>
      <c r="AB77" s="75">
        <v>0</v>
      </c>
      <c r="AC77" s="75">
        <v>0</v>
      </c>
      <c r="AD77" s="59">
        <f t="shared" si="29"/>
        <v>0</v>
      </c>
      <c r="AE77" s="73">
        <v>0</v>
      </c>
      <c r="AF77" s="73">
        <v>0</v>
      </c>
      <c r="AG77" s="15">
        <f t="shared" si="30"/>
        <v>0</v>
      </c>
      <c r="AH77" s="16">
        <f t="shared" si="31"/>
        <v>16</v>
      </c>
      <c r="AI77" s="17">
        <f t="shared" si="32"/>
        <v>274</v>
      </c>
      <c r="AJ77" s="12">
        <f>VLOOKUP(A77,'PreK Proxy - Sept. 2024'!$A$2:$I$674,9,FALSE)</f>
        <v>344</v>
      </c>
      <c r="AK77" s="18">
        <f t="shared" si="33"/>
        <v>0.84302325581395354</v>
      </c>
    </row>
    <row r="78" spans="1:37" x14ac:dyDescent="0.35">
      <c r="A78" s="11" t="s">
        <v>168</v>
      </c>
      <c r="B78" s="12" t="s">
        <v>169</v>
      </c>
      <c r="C78" s="54" t="s">
        <v>1467</v>
      </c>
      <c r="D78" s="54" t="s">
        <v>68</v>
      </c>
      <c r="E78" s="66">
        <f t="shared" si="18"/>
        <v>144</v>
      </c>
      <c r="F78" s="13">
        <f t="shared" si="19"/>
        <v>144</v>
      </c>
      <c r="G78" s="67">
        <f t="shared" si="20"/>
        <v>0</v>
      </c>
      <c r="H78" s="64">
        <f t="shared" si="17"/>
        <v>144</v>
      </c>
      <c r="I78" s="80">
        <v>0</v>
      </c>
      <c r="J78" s="80">
        <v>0</v>
      </c>
      <c r="K78" s="59">
        <f t="shared" si="21"/>
        <v>0</v>
      </c>
      <c r="L78" s="59">
        <v>0</v>
      </c>
      <c r="M78" s="59">
        <v>144</v>
      </c>
      <c r="N78" s="59">
        <f t="shared" si="22"/>
        <v>144</v>
      </c>
      <c r="O78" s="15">
        <f t="shared" si="23"/>
        <v>0</v>
      </c>
      <c r="P78" s="87">
        <f t="shared" si="24"/>
        <v>0</v>
      </c>
      <c r="Q78" s="110">
        <v>0</v>
      </c>
      <c r="R78" s="59">
        <v>0</v>
      </c>
      <c r="S78" s="14">
        <v>0</v>
      </c>
      <c r="T78" s="59">
        <v>0</v>
      </c>
      <c r="U78" s="15">
        <f t="shared" si="25"/>
        <v>0</v>
      </c>
      <c r="V78" s="14">
        <v>0</v>
      </c>
      <c r="W78" s="15">
        <f t="shared" si="26"/>
        <v>0</v>
      </c>
      <c r="X78" s="14">
        <v>0</v>
      </c>
      <c r="Y78" s="75">
        <v>0</v>
      </c>
      <c r="Z78" s="87">
        <f t="shared" si="27"/>
        <v>0</v>
      </c>
      <c r="AA78" s="14">
        <f t="shared" si="28"/>
        <v>0</v>
      </c>
      <c r="AB78" s="75">
        <v>0</v>
      </c>
      <c r="AC78" s="75">
        <v>0</v>
      </c>
      <c r="AD78" s="59">
        <f t="shared" si="29"/>
        <v>0</v>
      </c>
      <c r="AE78" s="73">
        <v>0</v>
      </c>
      <c r="AF78" s="73">
        <v>0</v>
      </c>
      <c r="AG78" s="15">
        <f t="shared" si="30"/>
        <v>0</v>
      </c>
      <c r="AH78" s="16">
        <f t="shared" si="31"/>
        <v>0</v>
      </c>
      <c r="AI78" s="17">
        <f t="shared" si="32"/>
        <v>144</v>
      </c>
      <c r="AJ78" s="12">
        <f>VLOOKUP(A78,'PreK Proxy - Sept. 2024'!$A$2:$I$674,9,FALSE)</f>
        <v>246</v>
      </c>
      <c r="AK78" s="18">
        <f t="shared" si="33"/>
        <v>0.58536585365853655</v>
      </c>
    </row>
    <row r="79" spans="1:37" x14ac:dyDescent="0.35">
      <c r="A79" s="11" t="s">
        <v>170</v>
      </c>
      <c r="B79" s="12" t="s">
        <v>171</v>
      </c>
      <c r="C79" s="54" t="s">
        <v>1467</v>
      </c>
      <c r="D79" s="54" t="s">
        <v>68</v>
      </c>
      <c r="E79" s="66">
        <f t="shared" si="18"/>
        <v>42</v>
      </c>
      <c r="F79" s="13">
        <f t="shared" si="19"/>
        <v>42</v>
      </c>
      <c r="G79" s="67">
        <f t="shared" si="20"/>
        <v>0</v>
      </c>
      <c r="H79" s="64">
        <f t="shared" si="17"/>
        <v>42</v>
      </c>
      <c r="I79" s="80">
        <v>0</v>
      </c>
      <c r="J79" s="80">
        <v>0</v>
      </c>
      <c r="K79" s="59">
        <f t="shared" si="21"/>
        <v>0</v>
      </c>
      <c r="L79" s="59">
        <v>0</v>
      </c>
      <c r="M79" s="59">
        <v>42</v>
      </c>
      <c r="N79" s="59">
        <f t="shared" si="22"/>
        <v>42</v>
      </c>
      <c r="O79" s="15">
        <f t="shared" si="23"/>
        <v>0</v>
      </c>
      <c r="P79" s="87">
        <f t="shared" si="24"/>
        <v>0</v>
      </c>
      <c r="Q79" s="110">
        <v>0</v>
      </c>
      <c r="R79" s="59">
        <v>0</v>
      </c>
      <c r="S79" s="14">
        <v>0</v>
      </c>
      <c r="T79" s="59">
        <v>0</v>
      </c>
      <c r="U79" s="15">
        <f t="shared" si="25"/>
        <v>0</v>
      </c>
      <c r="V79" s="14">
        <v>0</v>
      </c>
      <c r="W79" s="15">
        <f t="shared" si="26"/>
        <v>0</v>
      </c>
      <c r="X79" s="14">
        <v>0</v>
      </c>
      <c r="Y79" s="75">
        <v>0</v>
      </c>
      <c r="Z79" s="87">
        <f t="shared" si="27"/>
        <v>0</v>
      </c>
      <c r="AA79" s="14">
        <f t="shared" si="28"/>
        <v>0</v>
      </c>
      <c r="AB79" s="75">
        <v>0</v>
      </c>
      <c r="AC79" s="75">
        <v>0</v>
      </c>
      <c r="AD79" s="59">
        <f t="shared" si="29"/>
        <v>0</v>
      </c>
      <c r="AE79" s="73">
        <v>0</v>
      </c>
      <c r="AF79" s="73">
        <v>0</v>
      </c>
      <c r="AG79" s="15">
        <f t="shared" si="30"/>
        <v>0</v>
      </c>
      <c r="AH79" s="16">
        <f t="shared" si="31"/>
        <v>0</v>
      </c>
      <c r="AI79" s="17">
        <f t="shared" si="32"/>
        <v>42</v>
      </c>
      <c r="AJ79" s="12">
        <f>VLOOKUP(A79,'PreK Proxy - Sept. 2024'!$A$2:$I$674,9,FALSE)</f>
        <v>62</v>
      </c>
      <c r="AK79" s="18">
        <f t="shared" si="33"/>
        <v>0.67741935483870963</v>
      </c>
    </row>
    <row r="80" spans="1:37" x14ac:dyDescent="0.35">
      <c r="A80" s="11" t="s">
        <v>172</v>
      </c>
      <c r="B80" s="12" t="s">
        <v>173</v>
      </c>
      <c r="C80" s="54" t="s">
        <v>1460</v>
      </c>
      <c r="D80" s="54" t="s">
        <v>68</v>
      </c>
      <c r="E80" s="66">
        <f t="shared" si="18"/>
        <v>20</v>
      </c>
      <c r="F80" s="13">
        <f t="shared" si="19"/>
        <v>18</v>
      </c>
      <c r="G80" s="67">
        <f t="shared" si="20"/>
        <v>2</v>
      </c>
      <c r="H80" s="64">
        <f t="shared" si="17"/>
        <v>9</v>
      </c>
      <c r="I80" s="80">
        <v>0</v>
      </c>
      <c r="J80" s="80">
        <v>1</v>
      </c>
      <c r="K80" s="59">
        <f t="shared" si="21"/>
        <v>1</v>
      </c>
      <c r="L80" s="59">
        <v>0</v>
      </c>
      <c r="M80" s="59">
        <v>8</v>
      </c>
      <c r="N80" s="59">
        <f t="shared" si="22"/>
        <v>8</v>
      </c>
      <c r="O80" s="15">
        <f t="shared" si="23"/>
        <v>0</v>
      </c>
      <c r="P80" s="87">
        <f t="shared" si="24"/>
        <v>11</v>
      </c>
      <c r="Q80" s="110">
        <v>1</v>
      </c>
      <c r="R80" s="59">
        <v>10</v>
      </c>
      <c r="S80" s="14">
        <v>0</v>
      </c>
      <c r="T80" s="59">
        <v>0</v>
      </c>
      <c r="U80" s="15">
        <f t="shared" si="25"/>
        <v>0</v>
      </c>
      <c r="V80" s="14">
        <v>0</v>
      </c>
      <c r="W80" s="15">
        <f t="shared" si="26"/>
        <v>0</v>
      </c>
      <c r="X80" s="14">
        <v>0</v>
      </c>
      <c r="Y80" s="75">
        <v>0</v>
      </c>
      <c r="Z80" s="87">
        <f t="shared" si="27"/>
        <v>0</v>
      </c>
      <c r="AA80" s="14">
        <f t="shared" si="28"/>
        <v>0</v>
      </c>
      <c r="AB80" s="75">
        <v>0</v>
      </c>
      <c r="AC80" s="75">
        <v>0</v>
      </c>
      <c r="AD80" s="59">
        <f t="shared" si="29"/>
        <v>0</v>
      </c>
      <c r="AE80" s="73">
        <v>0</v>
      </c>
      <c r="AF80" s="73">
        <v>0</v>
      </c>
      <c r="AG80" s="15">
        <f t="shared" si="30"/>
        <v>0</v>
      </c>
      <c r="AH80" s="16">
        <f t="shared" si="31"/>
        <v>2</v>
      </c>
      <c r="AI80" s="17">
        <f t="shared" si="32"/>
        <v>18</v>
      </c>
      <c r="AJ80" s="12">
        <f>VLOOKUP(A80,'PreK Proxy - Sept. 2024'!$A$2:$I$674,9,FALSE)</f>
        <v>28</v>
      </c>
      <c r="AK80" s="18">
        <f t="shared" si="33"/>
        <v>0.7142857142857143</v>
      </c>
    </row>
    <row r="81" spans="1:37" x14ac:dyDescent="0.35">
      <c r="A81" s="11" t="s">
        <v>174</v>
      </c>
      <c r="B81" s="12" t="s">
        <v>175</v>
      </c>
      <c r="C81" s="54" t="s">
        <v>1460</v>
      </c>
      <c r="D81" s="54" t="s">
        <v>68</v>
      </c>
      <c r="E81" s="66">
        <f t="shared" si="18"/>
        <v>36</v>
      </c>
      <c r="F81" s="13">
        <f t="shared" si="19"/>
        <v>36</v>
      </c>
      <c r="G81" s="67">
        <f t="shared" si="20"/>
        <v>0</v>
      </c>
      <c r="H81" s="64">
        <f t="shared" si="17"/>
        <v>36</v>
      </c>
      <c r="I81" s="80">
        <v>0</v>
      </c>
      <c r="J81" s="80">
        <v>0</v>
      </c>
      <c r="K81" s="59">
        <f t="shared" si="21"/>
        <v>0</v>
      </c>
      <c r="L81" s="59">
        <v>0</v>
      </c>
      <c r="M81" s="59">
        <v>36</v>
      </c>
      <c r="N81" s="59">
        <f t="shared" si="22"/>
        <v>36</v>
      </c>
      <c r="O81" s="15">
        <f t="shared" si="23"/>
        <v>0</v>
      </c>
      <c r="P81" s="87">
        <f t="shared" si="24"/>
        <v>0</v>
      </c>
      <c r="Q81" s="110">
        <v>0</v>
      </c>
      <c r="R81" s="59">
        <v>0</v>
      </c>
      <c r="S81" s="14">
        <v>0</v>
      </c>
      <c r="T81" s="59">
        <v>0</v>
      </c>
      <c r="U81" s="15">
        <f t="shared" si="25"/>
        <v>0</v>
      </c>
      <c r="V81" s="14">
        <v>0</v>
      </c>
      <c r="W81" s="15">
        <f t="shared" si="26"/>
        <v>0</v>
      </c>
      <c r="X81" s="14">
        <v>0</v>
      </c>
      <c r="Y81" s="75">
        <v>0</v>
      </c>
      <c r="Z81" s="87">
        <f t="shared" si="27"/>
        <v>0</v>
      </c>
      <c r="AA81" s="14">
        <f t="shared" si="28"/>
        <v>0</v>
      </c>
      <c r="AB81" s="75">
        <v>0</v>
      </c>
      <c r="AC81" s="75">
        <v>0</v>
      </c>
      <c r="AD81" s="59">
        <f t="shared" si="29"/>
        <v>0</v>
      </c>
      <c r="AE81" s="73">
        <v>0</v>
      </c>
      <c r="AF81" s="73">
        <v>0</v>
      </c>
      <c r="AG81" s="15">
        <f t="shared" si="30"/>
        <v>0</v>
      </c>
      <c r="AH81" s="16">
        <f t="shared" si="31"/>
        <v>0</v>
      </c>
      <c r="AI81" s="17">
        <f t="shared" si="32"/>
        <v>36</v>
      </c>
      <c r="AJ81" s="12">
        <f>VLOOKUP(A81,'PreK Proxy - Sept. 2024'!$A$2:$I$674,9,FALSE)</f>
        <v>44</v>
      </c>
      <c r="AK81" s="18">
        <f t="shared" si="33"/>
        <v>0.81818181818181823</v>
      </c>
    </row>
    <row r="82" spans="1:37" x14ac:dyDescent="0.35">
      <c r="A82" s="11" t="s">
        <v>176</v>
      </c>
      <c r="B82" s="12" t="s">
        <v>177</v>
      </c>
      <c r="C82" s="54" t="s">
        <v>1460</v>
      </c>
      <c r="D82" s="54" t="s">
        <v>68</v>
      </c>
      <c r="E82" s="66">
        <f t="shared" si="18"/>
        <v>41</v>
      </c>
      <c r="F82" s="13">
        <f t="shared" si="19"/>
        <v>41</v>
      </c>
      <c r="G82" s="67">
        <f t="shared" si="20"/>
        <v>0</v>
      </c>
      <c r="H82" s="64">
        <f t="shared" si="17"/>
        <v>14</v>
      </c>
      <c r="I82" s="80">
        <v>0</v>
      </c>
      <c r="J82" s="80">
        <v>0</v>
      </c>
      <c r="K82" s="59">
        <f t="shared" si="21"/>
        <v>0</v>
      </c>
      <c r="L82" s="59">
        <v>0</v>
      </c>
      <c r="M82" s="59">
        <v>14</v>
      </c>
      <c r="N82" s="59">
        <f t="shared" si="22"/>
        <v>14</v>
      </c>
      <c r="O82" s="15">
        <f t="shared" si="23"/>
        <v>0</v>
      </c>
      <c r="P82" s="87">
        <f t="shared" si="24"/>
        <v>27</v>
      </c>
      <c r="Q82" s="110">
        <v>0</v>
      </c>
      <c r="R82" s="59">
        <v>27</v>
      </c>
      <c r="S82" s="14">
        <v>0</v>
      </c>
      <c r="T82" s="59">
        <v>0</v>
      </c>
      <c r="U82" s="15">
        <f t="shared" si="25"/>
        <v>0</v>
      </c>
      <c r="V82" s="14">
        <v>0</v>
      </c>
      <c r="W82" s="15">
        <f t="shared" si="26"/>
        <v>0</v>
      </c>
      <c r="X82" s="14">
        <v>0</v>
      </c>
      <c r="Y82" s="75">
        <v>0</v>
      </c>
      <c r="Z82" s="87">
        <f t="shared" si="27"/>
        <v>0</v>
      </c>
      <c r="AA82" s="14">
        <f t="shared" si="28"/>
        <v>0</v>
      </c>
      <c r="AB82" s="75">
        <v>0</v>
      </c>
      <c r="AC82" s="75">
        <v>0</v>
      </c>
      <c r="AD82" s="59">
        <f t="shared" si="29"/>
        <v>0</v>
      </c>
      <c r="AE82" s="73">
        <v>0</v>
      </c>
      <c r="AF82" s="73">
        <v>0</v>
      </c>
      <c r="AG82" s="15">
        <f t="shared" si="30"/>
        <v>0</v>
      </c>
      <c r="AH82" s="16">
        <f t="shared" si="31"/>
        <v>0</v>
      </c>
      <c r="AI82" s="17">
        <f t="shared" si="32"/>
        <v>41</v>
      </c>
      <c r="AJ82" s="12">
        <f>VLOOKUP(A82,'PreK Proxy - Sept. 2024'!$A$2:$I$674,9,FALSE)</f>
        <v>56</v>
      </c>
      <c r="AK82" s="18">
        <f t="shared" si="33"/>
        <v>0.7321428571428571</v>
      </c>
    </row>
    <row r="83" spans="1:37" x14ac:dyDescent="0.35">
      <c r="A83" s="11" t="s">
        <v>178</v>
      </c>
      <c r="B83" s="12" t="s">
        <v>179</v>
      </c>
      <c r="C83" s="54" t="s">
        <v>1460</v>
      </c>
      <c r="D83" s="54" t="s">
        <v>68</v>
      </c>
      <c r="E83" s="66">
        <f t="shared" si="18"/>
        <v>34</v>
      </c>
      <c r="F83" s="13">
        <f t="shared" si="19"/>
        <v>34</v>
      </c>
      <c r="G83" s="67">
        <f t="shared" si="20"/>
        <v>0</v>
      </c>
      <c r="H83" s="64">
        <f t="shared" si="17"/>
        <v>34</v>
      </c>
      <c r="I83" s="80">
        <v>0</v>
      </c>
      <c r="J83" s="80">
        <v>0</v>
      </c>
      <c r="K83" s="59">
        <f t="shared" si="21"/>
        <v>0</v>
      </c>
      <c r="L83" s="59">
        <v>0</v>
      </c>
      <c r="M83" s="59">
        <v>34</v>
      </c>
      <c r="N83" s="59">
        <f t="shared" si="22"/>
        <v>34</v>
      </c>
      <c r="O83" s="15">
        <f t="shared" si="23"/>
        <v>0</v>
      </c>
      <c r="P83" s="87">
        <f t="shared" si="24"/>
        <v>0</v>
      </c>
      <c r="Q83" s="110">
        <v>0</v>
      </c>
      <c r="R83" s="59">
        <v>0</v>
      </c>
      <c r="S83" s="14">
        <v>0</v>
      </c>
      <c r="T83" s="59">
        <v>0</v>
      </c>
      <c r="U83" s="15">
        <f t="shared" si="25"/>
        <v>0</v>
      </c>
      <c r="V83" s="14">
        <v>0</v>
      </c>
      <c r="W83" s="15">
        <f t="shared" si="26"/>
        <v>0</v>
      </c>
      <c r="X83" s="14">
        <v>0</v>
      </c>
      <c r="Y83" s="75">
        <v>0</v>
      </c>
      <c r="Z83" s="87">
        <f t="shared" si="27"/>
        <v>0</v>
      </c>
      <c r="AA83" s="14">
        <f t="shared" si="28"/>
        <v>0</v>
      </c>
      <c r="AB83" s="75">
        <v>0</v>
      </c>
      <c r="AC83" s="75">
        <v>0</v>
      </c>
      <c r="AD83" s="59">
        <f t="shared" si="29"/>
        <v>0</v>
      </c>
      <c r="AE83" s="73">
        <v>0</v>
      </c>
      <c r="AF83" s="73">
        <v>0</v>
      </c>
      <c r="AG83" s="15">
        <f t="shared" si="30"/>
        <v>0</v>
      </c>
      <c r="AH83" s="16">
        <f t="shared" si="31"/>
        <v>0</v>
      </c>
      <c r="AI83" s="17">
        <f t="shared" si="32"/>
        <v>34</v>
      </c>
      <c r="AJ83" s="12">
        <f>VLOOKUP(A83,'PreK Proxy - Sept. 2024'!$A$2:$I$674,9,FALSE)</f>
        <v>55</v>
      </c>
      <c r="AK83" s="18">
        <f t="shared" si="33"/>
        <v>0.61818181818181817</v>
      </c>
    </row>
    <row r="84" spans="1:37" x14ac:dyDescent="0.35">
      <c r="A84" s="11" t="s">
        <v>180</v>
      </c>
      <c r="B84" s="12" t="s">
        <v>181</v>
      </c>
      <c r="C84" s="54" t="s">
        <v>1460</v>
      </c>
      <c r="D84" s="54" t="s">
        <v>68</v>
      </c>
      <c r="E84" s="66">
        <f t="shared" si="18"/>
        <v>85</v>
      </c>
      <c r="F84" s="13">
        <f t="shared" si="19"/>
        <v>71</v>
      </c>
      <c r="G84" s="67">
        <f t="shared" si="20"/>
        <v>14</v>
      </c>
      <c r="H84" s="64">
        <f t="shared" si="17"/>
        <v>85</v>
      </c>
      <c r="I84" s="80">
        <v>0</v>
      </c>
      <c r="J84" s="80">
        <v>14</v>
      </c>
      <c r="K84" s="59">
        <f t="shared" si="21"/>
        <v>14</v>
      </c>
      <c r="L84" s="59">
        <v>0</v>
      </c>
      <c r="M84" s="59">
        <v>71</v>
      </c>
      <c r="N84" s="59">
        <f t="shared" si="22"/>
        <v>71</v>
      </c>
      <c r="O84" s="15">
        <f t="shared" si="23"/>
        <v>0</v>
      </c>
      <c r="P84" s="87">
        <f t="shared" si="24"/>
        <v>0</v>
      </c>
      <c r="Q84" s="110">
        <v>0</v>
      </c>
      <c r="R84" s="59">
        <v>0</v>
      </c>
      <c r="S84" s="14">
        <v>0</v>
      </c>
      <c r="T84" s="59">
        <v>0</v>
      </c>
      <c r="U84" s="15">
        <f t="shared" si="25"/>
        <v>0</v>
      </c>
      <c r="V84" s="14">
        <v>0</v>
      </c>
      <c r="W84" s="15">
        <f t="shared" si="26"/>
        <v>0</v>
      </c>
      <c r="X84" s="14">
        <v>0</v>
      </c>
      <c r="Y84" s="75">
        <v>0</v>
      </c>
      <c r="Z84" s="87">
        <f t="shared" si="27"/>
        <v>0</v>
      </c>
      <c r="AA84" s="14">
        <f t="shared" si="28"/>
        <v>0</v>
      </c>
      <c r="AB84" s="75">
        <v>0</v>
      </c>
      <c r="AC84" s="75">
        <v>0</v>
      </c>
      <c r="AD84" s="59">
        <f t="shared" si="29"/>
        <v>0</v>
      </c>
      <c r="AE84" s="73">
        <v>0</v>
      </c>
      <c r="AF84" s="73">
        <v>0</v>
      </c>
      <c r="AG84" s="15">
        <f t="shared" si="30"/>
        <v>0</v>
      </c>
      <c r="AH84" s="16">
        <f t="shared" si="31"/>
        <v>14</v>
      </c>
      <c r="AI84" s="17">
        <f t="shared" si="32"/>
        <v>71</v>
      </c>
      <c r="AJ84" s="12">
        <f>VLOOKUP(A84,'PreK Proxy - Sept. 2024'!$A$2:$I$674,9,FALSE)</f>
        <v>102</v>
      </c>
      <c r="AK84" s="18">
        <f t="shared" si="33"/>
        <v>0.83333333333333337</v>
      </c>
    </row>
    <row r="85" spans="1:37" x14ac:dyDescent="0.35">
      <c r="A85" s="11" t="s">
        <v>182</v>
      </c>
      <c r="B85" s="12" t="s">
        <v>183</v>
      </c>
      <c r="C85" s="54" t="s">
        <v>1460</v>
      </c>
      <c r="D85" s="54" t="s">
        <v>68</v>
      </c>
      <c r="E85" s="66">
        <f t="shared" si="18"/>
        <v>14</v>
      </c>
      <c r="F85" s="13">
        <f t="shared" si="19"/>
        <v>14</v>
      </c>
      <c r="G85" s="67">
        <f t="shared" si="20"/>
        <v>0</v>
      </c>
      <c r="H85" s="64">
        <f t="shared" si="17"/>
        <v>0</v>
      </c>
      <c r="I85" s="80">
        <v>0</v>
      </c>
      <c r="J85" s="80">
        <v>0</v>
      </c>
      <c r="K85" s="59">
        <f t="shared" si="21"/>
        <v>0</v>
      </c>
      <c r="L85" s="59">
        <v>0</v>
      </c>
      <c r="M85" s="59">
        <v>0</v>
      </c>
      <c r="N85" s="59">
        <f t="shared" si="22"/>
        <v>0</v>
      </c>
      <c r="O85" s="15">
        <f t="shared" si="23"/>
        <v>0</v>
      </c>
      <c r="P85" s="87">
        <f t="shared" si="24"/>
        <v>0</v>
      </c>
      <c r="Q85" s="110">
        <v>0</v>
      </c>
      <c r="R85" s="59">
        <v>0</v>
      </c>
      <c r="S85" s="14">
        <v>14</v>
      </c>
      <c r="T85" s="59">
        <v>0</v>
      </c>
      <c r="U85" s="15">
        <f t="shared" si="25"/>
        <v>14</v>
      </c>
      <c r="V85" s="14">
        <v>0</v>
      </c>
      <c r="W85" s="15">
        <f t="shared" si="26"/>
        <v>0</v>
      </c>
      <c r="X85" s="14">
        <v>0</v>
      </c>
      <c r="Y85" s="75">
        <v>0</v>
      </c>
      <c r="Z85" s="87">
        <f t="shared" si="27"/>
        <v>0</v>
      </c>
      <c r="AA85" s="14">
        <f t="shared" si="28"/>
        <v>0</v>
      </c>
      <c r="AB85" s="75">
        <v>0</v>
      </c>
      <c r="AC85" s="75">
        <v>0</v>
      </c>
      <c r="AD85" s="59">
        <f t="shared" si="29"/>
        <v>0</v>
      </c>
      <c r="AE85" s="73">
        <v>0</v>
      </c>
      <c r="AF85" s="73">
        <v>0</v>
      </c>
      <c r="AG85" s="15">
        <f t="shared" si="30"/>
        <v>0</v>
      </c>
      <c r="AH85" s="16">
        <f t="shared" si="31"/>
        <v>0</v>
      </c>
      <c r="AI85" s="17">
        <f t="shared" si="32"/>
        <v>14</v>
      </c>
      <c r="AJ85" s="12">
        <f>VLOOKUP(A85,'PreK Proxy - Sept. 2024'!$A$2:$I$674,9,FALSE)</f>
        <v>15</v>
      </c>
      <c r="AK85" s="18">
        <f t="shared" si="33"/>
        <v>0.93333333333333335</v>
      </c>
    </row>
    <row r="86" spans="1:37" x14ac:dyDescent="0.35">
      <c r="A86" s="11" t="s">
        <v>184</v>
      </c>
      <c r="B86" s="12" t="s">
        <v>185</v>
      </c>
      <c r="C86" s="54" t="s">
        <v>1460</v>
      </c>
      <c r="D86" s="54" t="s">
        <v>68</v>
      </c>
      <c r="E86" s="66">
        <f t="shared" si="18"/>
        <v>19</v>
      </c>
      <c r="F86" s="13">
        <f t="shared" si="19"/>
        <v>19</v>
      </c>
      <c r="G86" s="67">
        <f t="shared" si="20"/>
        <v>0</v>
      </c>
      <c r="H86" s="64">
        <f t="shared" si="17"/>
        <v>19</v>
      </c>
      <c r="I86" s="80">
        <v>0</v>
      </c>
      <c r="J86" s="80">
        <v>0</v>
      </c>
      <c r="K86" s="59">
        <f t="shared" si="21"/>
        <v>0</v>
      </c>
      <c r="L86" s="59">
        <v>0</v>
      </c>
      <c r="M86" s="59">
        <v>19</v>
      </c>
      <c r="N86" s="59">
        <f t="shared" si="22"/>
        <v>19</v>
      </c>
      <c r="O86" s="15">
        <f t="shared" si="23"/>
        <v>0</v>
      </c>
      <c r="P86" s="87">
        <f t="shared" si="24"/>
        <v>0</v>
      </c>
      <c r="Q86" s="110">
        <v>0</v>
      </c>
      <c r="R86" s="59">
        <v>0</v>
      </c>
      <c r="S86" s="14">
        <v>0</v>
      </c>
      <c r="T86" s="59">
        <v>0</v>
      </c>
      <c r="U86" s="15">
        <f t="shared" si="25"/>
        <v>0</v>
      </c>
      <c r="V86" s="14">
        <v>0</v>
      </c>
      <c r="W86" s="15">
        <f t="shared" si="26"/>
        <v>0</v>
      </c>
      <c r="X86" s="14">
        <v>0</v>
      </c>
      <c r="Y86" s="75">
        <v>0</v>
      </c>
      <c r="Z86" s="87">
        <f t="shared" si="27"/>
        <v>0</v>
      </c>
      <c r="AA86" s="14">
        <f t="shared" si="28"/>
        <v>0</v>
      </c>
      <c r="AB86" s="75">
        <v>0</v>
      </c>
      <c r="AC86" s="75">
        <v>0</v>
      </c>
      <c r="AD86" s="59">
        <f t="shared" si="29"/>
        <v>0</v>
      </c>
      <c r="AE86" s="73">
        <v>0</v>
      </c>
      <c r="AF86" s="73">
        <v>0</v>
      </c>
      <c r="AG86" s="15">
        <f t="shared" si="30"/>
        <v>0</v>
      </c>
      <c r="AH86" s="16">
        <f t="shared" si="31"/>
        <v>0</v>
      </c>
      <c r="AI86" s="17">
        <f t="shared" si="32"/>
        <v>19</v>
      </c>
      <c r="AJ86" s="12">
        <f>VLOOKUP(A86,'PreK Proxy - Sept. 2024'!$A$2:$I$674,9,FALSE)</f>
        <v>57</v>
      </c>
      <c r="AK86" s="18">
        <f t="shared" si="33"/>
        <v>0.33333333333333331</v>
      </c>
    </row>
    <row r="87" spans="1:37" x14ac:dyDescent="0.35">
      <c r="A87" s="11" t="s">
        <v>186</v>
      </c>
      <c r="B87" s="12" t="s">
        <v>187</v>
      </c>
      <c r="C87" s="54" t="s">
        <v>1460</v>
      </c>
      <c r="D87" s="54" t="s">
        <v>68</v>
      </c>
      <c r="E87" s="66">
        <f t="shared" si="18"/>
        <v>60</v>
      </c>
      <c r="F87" s="13">
        <f t="shared" si="19"/>
        <v>60</v>
      </c>
      <c r="G87" s="67">
        <f t="shared" si="20"/>
        <v>0</v>
      </c>
      <c r="H87" s="64">
        <f t="shared" si="17"/>
        <v>60</v>
      </c>
      <c r="I87" s="80">
        <v>0</v>
      </c>
      <c r="J87" s="80">
        <v>0</v>
      </c>
      <c r="K87" s="59">
        <f t="shared" si="21"/>
        <v>0</v>
      </c>
      <c r="L87" s="59">
        <v>0</v>
      </c>
      <c r="M87" s="59">
        <v>60</v>
      </c>
      <c r="N87" s="59">
        <f t="shared" si="22"/>
        <v>60</v>
      </c>
      <c r="O87" s="15">
        <f t="shared" si="23"/>
        <v>0</v>
      </c>
      <c r="P87" s="87">
        <f t="shared" si="24"/>
        <v>0</v>
      </c>
      <c r="Q87" s="110">
        <v>0</v>
      </c>
      <c r="R87" s="59">
        <v>0</v>
      </c>
      <c r="S87" s="14">
        <v>0</v>
      </c>
      <c r="T87" s="59">
        <v>0</v>
      </c>
      <c r="U87" s="15">
        <f t="shared" si="25"/>
        <v>0</v>
      </c>
      <c r="V87" s="14">
        <v>0</v>
      </c>
      <c r="W87" s="15">
        <f t="shared" si="26"/>
        <v>0</v>
      </c>
      <c r="X87" s="14">
        <v>0</v>
      </c>
      <c r="Y87" s="75">
        <v>0</v>
      </c>
      <c r="Z87" s="87">
        <f t="shared" si="27"/>
        <v>0</v>
      </c>
      <c r="AA87" s="14">
        <f t="shared" si="28"/>
        <v>0</v>
      </c>
      <c r="AB87" s="75">
        <v>0</v>
      </c>
      <c r="AC87" s="75">
        <v>0</v>
      </c>
      <c r="AD87" s="59">
        <f t="shared" si="29"/>
        <v>0</v>
      </c>
      <c r="AE87" s="73">
        <v>0</v>
      </c>
      <c r="AF87" s="73">
        <v>0</v>
      </c>
      <c r="AG87" s="15">
        <f t="shared" si="30"/>
        <v>0</v>
      </c>
      <c r="AH87" s="16">
        <f t="shared" si="31"/>
        <v>0</v>
      </c>
      <c r="AI87" s="17">
        <f t="shared" si="32"/>
        <v>60</v>
      </c>
      <c r="AJ87" s="12">
        <f>VLOOKUP(A87,'PreK Proxy - Sept. 2024'!$A$2:$I$674,9,FALSE)</f>
        <v>80</v>
      </c>
      <c r="AK87" s="18">
        <f t="shared" si="33"/>
        <v>0.75</v>
      </c>
    </row>
    <row r="88" spans="1:37" x14ac:dyDescent="0.35">
      <c r="A88" s="11" t="s">
        <v>188</v>
      </c>
      <c r="B88" s="12" t="s">
        <v>189</v>
      </c>
      <c r="C88" s="54" t="s">
        <v>1377</v>
      </c>
      <c r="D88" s="54" t="s">
        <v>190</v>
      </c>
      <c r="E88" s="66">
        <f t="shared" si="18"/>
        <v>51</v>
      </c>
      <c r="F88" s="13">
        <f t="shared" si="19"/>
        <v>51</v>
      </c>
      <c r="G88" s="67">
        <f t="shared" si="20"/>
        <v>0</v>
      </c>
      <c r="H88" s="64">
        <f t="shared" si="17"/>
        <v>51</v>
      </c>
      <c r="I88" s="80">
        <v>0</v>
      </c>
      <c r="J88" s="80">
        <v>0</v>
      </c>
      <c r="K88" s="59">
        <f t="shared" si="21"/>
        <v>0</v>
      </c>
      <c r="L88" s="59">
        <v>0</v>
      </c>
      <c r="M88" s="59">
        <v>51</v>
      </c>
      <c r="N88" s="59">
        <f t="shared" si="22"/>
        <v>51</v>
      </c>
      <c r="O88" s="15">
        <f t="shared" si="23"/>
        <v>0</v>
      </c>
      <c r="P88" s="87">
        <f t="shared" si="24"/>
        <v>0</v>
      </c>
      <c r="Q88" s="110">
        <v>0</v>
      </c>
      <c r="R88" s="59">
        <v>0</v>
      </c>
      <c r="S88" s="14">
        <v>0</v>
      </c>
      <c r="T88" s="59">
        <v>0</v>
      </c>
      <c r="U88" s="15">
        <f t="shared" si="25"/>
        <v>0</v>
      </c>
      <c r="V88" s="14">
        <v>0</v>
      </c>
      <c r="W88" s="15">
        <f t="shared" si="26"/>
        <v>0</v>
      </c>
      <c r="X88" s="14">
        <v>0</v>
      </c>
      <c r="Y88" s="75">
        <v>0</v>
      </c>
      <c r="Z88" s="87">
        <f t="shared" si="27"/>
        <v>0</v>
      </c>
      <c r="AA88" s="14">
        <f t="shared" si="28"/>
        <v>0</v>
      </c>
      <c r="AB88" s="75">
        <v>0</v>
      </c>
      <c r="AC88" s="75">
        <v>0</v>
      </c>
      <c r="AD88" s="59">
        <f t="shared" si="29"/>
        <v>0</v>
      </c>
      <c r="AE88" s="73">
        <v>0</v>
      </c>
      <c r="AF88" s="73">
        <v>0</v>
      </c>
      <c r="AG88" s="15">
        <f t="shared" si="30"/>
        <v>0</v>
      </c>
      <c r="AH88" s="16">
        <f t="shared" si="31"/>
        <v>0</v>
      </c>
      <c r="AI88" s="17">
        <f t="shared" si="32"/>
        <v>51</v>
      </c>
      <c r="AJ88" s="12">
        <f>VLOOKUP(A88,'PreK Proxy - Sept. 2024'!$A$2:$I$674,9,FALSE)</f>
        <v>75</v>
      </c>
      <c r="AK88" s="18">
        <f t="shared" si="33"/>
        <v>0.68</v>
      </c>
    </row>
    <row r="89" spans="1:37" x14ac:dyDescent="0.35">
      <c r="A89" s="11" t="s">
        <v>191</v>
      </c>
      <c r="B89" s="12" t="s">
        <v>192</v>
      </c>
      <c r="C89" s="54" t="s">
        <v>1377</v>
      </c>
      <c r="D89" s="54" t="s">
        <v>190</v>
      </c>
      <c r="E89" s="66">
        <f t="shared" si="18"/>
        <v>107</v>
      </c>
      <c r="F89" s="13">
        <f t="shared" si="19"/>
        <v>107</v>
      </c>
      <c r="G89" s="67">
        <f t="shared" si="20"/>
        <v>0</v>
      </c>
      <c r="H89" s="64">
        <f t="shared" si="17"/>
        <v>107</v>
      </c>
      <c r="I89" s="80">
        <v>0</v>
      </c>
      <c r="J89" s="80">
        <v>0</v>
      </c>
      <c r="K89" s="59">
        <f t="shared" si="21"/>
        <v>0</v>
      </c>
      <c r="L89" s="59">
        <v>37</v>
      </c>
      <c r="M89" s="59">
        <v>70</v>
      </c>
      <c r="N89" s="59">
        <f t="shared" si="22"/>
        <v>107</v>
      </c>
      <c r="O89" s="15">
        <f t="shared" si="23"/>
        <v>0</v>
      </c>
      <c r="P89" s="87">
        <f t="shared" si="24"/>
        <v>0</v>
      </c>
      <c r="Q89" s="110">
        <v>0</v>
      </c>
      <c r="R89" s="59">
        <v>0</v>
      </c>
      <c r="S89" s="14">
        <v>0</v>
      </c>
      <c r="T89" s="59">
        <v>0</v>
      </c>
      <c r="U89" s="15">
        <f t="shared" si="25"/>
        <v>0</v>
      </c>
      <c r="V89" s="14">
        <v>0</v>
      </c>
      <c r="W89" s="15">
        <f t="shared" si="26"/>
        <v>0</v>
      </c>
      <c r="X89" s="14">
        <v>0</v>
      </c>
      <c r="Y89" s="75">
        <v>0</v>
      </c>
      <c r="Z89" s="87">
        <f t="shared" si="27"/>
        <v>0</v>
      </c>
      <c r="AA89" s="14">
        <f t="shared" si="28"/>
        <v>0</v>
      </c>
      <c r="AB89" s="75">
        <v>0</v>
      </c>
      <c r="AC89" s="75">
        <v>0</v>
      </c>
      <c r="AD89" s="59">
        <f t="shared" si="29"/>
        <v>0</v>
      </c>
      <c r="AE89" s="73">
        <v>0</v>
      </c>
      <c r="AF89" s="73">
        <v>0</v>
      </c>
      <c r="AG89" s="15">
        <f t="shared" si="30"/>
        <v>0</v>
      </c>
      <c r="AH89" s="16">
        <f t="shared" si="31"/>
        <v>0</v>
      </c>
      <c r="AI89" s="17">
        <f t="shared" si="32"/>
        <v>70</v>
      </c>
      <c r="AJ89" s="12">
        <f>VLOOKUP(A89,'PreK Proxy - Sept. 2024'!$A$2:$I$674,9,FALSE)</f>
        <v>94</v>
      </c>
      <c r="AK89" s="18">
        <f t="shared" si="33"/>
        <v>0.74468085106382975</v>
      </c>
    </row>
    <row r="90" spans="1:37" x14ac:dyDescent="0.35">
      <c r="A90" s="11" t="s">
        <v>193</v>
      </c>
      <c r="B90" s="12" t="s">
        <v>194</v>
      </c>
      <c r="C90" s="54" t="s">
        <v>1377</v>
      </c>
      <c r="D90" s="54" t="s">
        <v>190</v>
      </c>
      <c r="E90" s="66">
        <f t="shared" si="18"/>
        <v>54</v>
      </c>
      <c r="F90" s="13">
        <f t="shared" si="19"/>
        <v>54</v>
      </c>
      <c r="G90" s="67">
        <f t="shared" si="20"/>
        <v>0</v>
      </c>
      <c r="H90" s="64">
        <f t="shared" si="17"/>
        <v>54</v>
      </c>
      <c r="I90" s="80">
        <v>0</v>
      </c>
      <c r="J90" s="80">
        <v>0</v>
      </c>
      <c r="K90" s="59">
        <f t="shared" si="21"/>
        <v>0</v>
      </c>
      <c r="L90" s="59">
        <v>0</v>
      </c>
      <c r="M90" s="59">
        <v>54</v>
      </c>
      <c r="N90" s="59">
        <f t="shared" si="22"/>
        <v>54</v>
      </c>
      <c r="O90" s="15">
        <f t="shared" si="23"/>
        <v>0</v>
      </c>
      <c r="P90" s="87">
        <f t="shared" si="24"/>
        <v>0</v>
      </c>
      <c r="Q90" s="110">
        <v>0</v>
      </c>
      <c r="R90" s="59">
        <v>0</v>
      </c>
      <c r="S90" s="14">
        <v>0</v>
      </c>
      <c r="T90" s="59">
        <v>0</v>
      </c>
      <c r="U90" s="15">
        <f t="shared" si="25"/>
        <v>0</v>
      </c>
      <c r="V90" s="14">
        <v>0</v>
      </c>
      <c r="W90" s="15">
        <f t="shared" si="26"/>
        <v>0</v>
      </c>
      <c r="X90" s="14">
        <v>0</v>
      </c>
      <c r="Y90" s="75">
        <v>0</v>
      </c>
      <c r="Z90" s="87">
        <f t="shared" si="27"/>
        <v>0</v>
      </c>
      <c r="AA90" s="14">
        <f t="shared" si="28"/>
        <v>0</v>
      </c>
      <c r="AB90" s="75">
        <v>0</v>
      </c>
      <c r="AC90" s="75">
        <v>0</v>
      </c>
      <c r="AD90" s="59">
        <f t="shared" si="29"/>
        <v>0</v>
      </c>
      <c r="AE90" s="73">
        <v>0</v>
      </c>
      <c r="AF90" s="73">
        <v>0</v>
      </c>
      <c r="AG90" s="15">
        <f t="shared" si="30"/>
        <v>0</v>
      </c>
      <c r="AH90" s="16">
        <f t="shared" si="31"/>
        <v>0</v>
      </c>
      <c r="AI90" s="17">
        <f t="shared" si="32"/>
        <v>54</v>
      </c>
      <c r="AJ90" s="12">
        <f>VLOOKUP(A90,'PreK Proxy - Sept. 2024'!$A$2:$I$674,9,FALSE)</f>
        <v>64</v>
      </c>
      <c r="AK90" s="18">
        <f t="shared" si="33"/>
        <v>0.84375</v>
      </c>
    </row>
    <row r="91" spans="1:37" x14ac:dyDescent="0.35">
      <c r="A91" s="11" t="s">
        <v>195</v>
      </c>
      <c r="B91" s="12" t="s">
        <v>196</v>
      </c>
      <c r="C91" s="54" t="s">
        <v>1377</v>
      </c>
      <c r="D91" s="54" t="s">
        <v>190</v>
      </c>
      <c r="E91" s="66">
        <f t="shared" si="18"/>
        <v>0</v>
      </c>
      <c r="F91" s="13">
        <f t="shared" si="19"/>
        <v>0</v>
      </c>
      <c r="G91" s="67">
        <f t="shared" si="20"/>
        <v>0</v>
      </c>
      <c r="H91" s="64">
        <f t="shared" si="17"/>
        <v>0</v>
      </c>
      <c r="I91" s="80">
        <v>0</v>
      </c>
      <c r="J91" s="80">
        <v>0</v>
      </c>
      <c r="K91" s="59">
        <f t="shared" si="21"/>
        <v>0</v>
      </c>
      <c r="L91" s="59">
        <v>0</v>
      </c>
      <c r="M91" s="59">
        <v>0</v>
      </c>
      <c r="N91" s="59">
        <f t="shared" si="22"/>
        <v>0</v>
      </c>
      <c r="O91" s="15">
        <f t="shared" si="23"/>
        <v>0</v>
      </c>
      <c r="P91" s="87">
        <f t="shared" si="24"/>
        <v>0</v>
      </c>
      <c r="Q91" s="110">
        <v>0</v>
      </c>
      <c r="R91" s="59">
        <v>0</v>
      </c>
      <c r="S91" s="14">
        <v>0</v>
      </c>
      <c r="T91" s="59">
        <v>0</v>
      </c>
      <c r="U91" s="15">
        <f t="shared" si="25"/>
        <v>0</v>
      </c>
      <c r="V91" s="14">
        <v>0</v>
      </c>
      <c r="W91" s="15">
        <f t="shared" si="26"/>
        <v>0</v>
      </c>
      <c r="X91" s="14">
        <v>0</v>
      </c>
      <c r="Y91" s="75">
        <v>0</v>
      </c>
      <c r="Z91" s="87">
        <f t="shared" si="27"/>
        <v>0</v>
      </c>
      <c r="AA91" s="14">
        <f t="shared" si="28"/>
        <v>0</v>
      </c>
      <c r="AB91" s="75">
        <v>0</v>
      </c>
      <c r="AC91" s="75">
        <v>0</v>
      </c>
      <c r="AD91" s="59">
        <f t="shared" si="29"/>
        <v>0</v>
      </c>
      <c r="AE91" s="73">
        <v>0</v>
      </c>
      <c r="AF91" s="73">
        <v>0</v>
      </c>
      <c r="AG91" s="15">
        <f t="shared" si="30"/>
        <v>0</v>
      </c>
      <c r="AH91" s="16">
        <f t="shared" si="31"/>
        <v>0</v>
      </c>
      <c r="AI91" s="17">
        <f t="shared" si="32"/>
        <v>0</v>
      </c>
      <c r="AJ91" s="12">
        <f>VLOOKUP(A91,'PreK Proxy - Sept. 2024'!$A$2:$I$674,9,FALSE)</f>
        <v>38</v>
      </c>
      <c r="AK91" s="18">
        <f t="shared" si="33"/>
        <v>0</v>
      </c>
    </row>
    <row r="92" spans="1:37" x14ac:dyDescent="0.35">
      <c r="A92" s="11" t="s">
        <v>197</v>
      </c>
      <c r="B92" s="12" t="s">
        <v>198</v>
      </c>
      <c r="C92" s="54" t="s">
        <v>1377</v>
      </c>
      <c r="D92" s="54" t="s">
        <v>190</v>
      </c>
      <c r="E92" s="66">
        <f t="shared" si="18"/>
        <v>20</v>
      </c>
      <c r="F92" s="13">
        <f t="shared" si="19"/>
        <v>20</v>
      </c>
      <c r="G92" s="67">
        <f t="shared" si="20"/>
        <v>0</v>
      </c>
      <c r="H92" s="64">
        <f t="shared" si="17"/>
        <v>20</v>
      </c>
      <c r="I92" s="80">
        <v>0</v>
      </c>
      <c r="J92" s="80">
        <v>0</v>
      </c>
      <c r="K92" s="59">
        <f t="shared" si="21"/>
        <v>0</v>
      </c>
      <c r="L92" s="59">
        <v>0</v>
      </c>
      <c r="M92" s="59">
        <v>20</v>
      </c>
      <c r="N92" s="59">
        <f t="shared" si="22"/>
        <v>20</v>
      </c>
      <c r="O92" s="15">
        <f t="shared" si="23"/>
        <v>0</v>
      </c>
      <c r="P92" s="87">
        <f t="shared" si="24"/>
        <v>0</v>
      </c>
      <c r="Q92" s="110">
        <v>0</v>
      </c>
      <c r="R92" s="59">
        <v>0</v>
      </c>
      <c r="S92" s="14">
        <v>0</v>
      </c>
      <c r="T92" s="59">
        <v>0</v>
      </c>
      <c r="U92" s="15">
        <f t="shared" si="25"/>
        <v>0</v>
      </c>
      <c r="V92" s="14">
        <v>0</v>
      </c>
      <c r="W92" s="15">
        <f t="shared" si="26"/>
        <v>0</v>
      </c>
      <c r="X92" s="14">
        <v>0</v>
      </c>
      <c r="Y92" s="75">
        <v>0</v>
      </c>
      <c r="Z92" s="87">
        <f t="shared" si="27"/>
        <v>0</v>
      </c>
      <c r="AA92" s="14">
        <f t="shared" si="28"/>
        <v>0</v>
      </c>
      <c r="AB92" s="75">
        <v>0</v>
      </c>
      <c r="AC92" s="75">
        <v>0</v>
      </c>
      <c r="AD92" s="59">
        <f t="shared" si="29"/>
        <v>0</v>
      </c>
      <c r="AE92" s="73">
        <v>0</v>
      </c>
      <c r="AF92" s="73">
        <v>0</v>
      </c>
      <c r="AG92" s="15">
        <f t="shared" si="30"/>
        <v>0</v>
      </c>
      <c r="AH92" s="16">
        <f t="shared" si="31"/>
        <v>0</v>
      </c>
      <c r="AI92" s="17">
        <f t="shared" si="32"/>
        <v>20</v>
      </c>
      <c r="AJ92" s="12">
        <f>VLOOKUP(A92,'PreK Proxy - Sept. 2024'!$A$2:$I$674,9,FALSE)</f>
        <v>39</v>
      </c>
      <c r="AK92" s="18">
        <f t="shared" si="33"/>
        <v>0.51282051282051277</v>
      </c>
    </row>
    <row r="93" spans="1:37" x14ac:dyDescent="0.35">
      <c r="A93" s="11" t="s">
        <v>199</v>
      </c>
      <c r="B93" s="12" t="s">
        <v>200</v>
      </c>
      <c r="C93" s="54" t="s">
        <v>1377</v>
      </c>
      <c r="D93" s="54" t="s">
        <v>190</v>
      </c>
      <c r="E93" s="66">
        <f t="shared" si="18"/>
        <v>83</v>
      </c>
      <c r="F93" s="13">
        <f t="shared" si="19"/>
        <v>83</v>
      </c>
      <c r="G93" s="67">
        <f t="shared" si="20"/>
        <v>0</v>
      </c>
      <c r="H93" s="64">
        <f t="shared" si="17"/>
        <v>83</v>
      </c>
      <c r="I93" s="80">
        <v>0</v>
      </c>
      <c r="J93" s="80">
        <v>0</v>
      </c>
      <c r="K93" s="59">
        <f t="shared" si="21"/>
        <v>0</v>
      </c>
      <c r="L93" s="59">
        <v>0</v>
      </c>
      <c r="M93" s="59">
        <v>83</v>
      </c>
      <c r="N93" s="59">
        <f t="shared" si="22"/>
        <v>83</v>
      </c>
      <c r="O93" s="15">
        <f t="shared" si="23"/>
        <v>0</v>
      </c>
      <c r="P93" s="87">
        <f t="shared" si="24"/>
        <v>0</v>
      </c>
      <c r="Q93" s="110">
        <v>0</v>
      </c>
      <c r="R93" s="59">
        <v>0</v>
      </c>
      <c r="S93" s="14">
        <v>0</v>
      </c>
      <c r="T93" s="59">
        <v>0</v>
      </c>
      <c r="U93" s="15">
        <f t="shared" si="25"/>
        <v>0</v>
      </c>
      <c r="V93" s="14">
        <v>0</v>
      </c>
      <c r="W93" s="15">
        <f t="shared" si="26"/>
        <v>0</v>
      </c>
      <c r="X93" s="14">
        <v>0</v>
      </c>
      <c r="Y93" s="75">
        <v>0</v>
      </c>
      <c r="Z93" s="87">
        <f t="shared" si="27"/>
        <v>0</v>
      </c>
      <c r="AA93" s="14">
        <f t="shared" si="28"/>
        <v>0</v>
      </c>
      <c r="AB93" s="75">
        <v>0</v>
      </c>
      <c r="AC93" s="75">
        <v>0</v>
      </c>
      <c r="AD93" s="59">
        <f t="shared" si="29"/>
        <v>0</v>
      </c>
      <c r="AE93" s="73">
        <v>0</v>
      </c>
      <c r="AF93" s="73">
        <v>0</v>
      </c>
      <c r="AG93" s="15">
        <f t="shared" si="30"/>
        <v>0</v>
      </c>
      <c r="AH93" s="16">
        <f t="shared" si="31"/>
        <v>0</v>
      </c>
      <c r="AI93" s="17">
        <f t="shared" si="32"/>
        <v>83</v>
      </c>
      <c r="AJ93" s="12">
        <f>VLOOKUP(A93,'PreK Proxy - Sept. 2024'!$A$2:$I$674,9,FALSE)</f>
        <v>118</v>
      </c>
      <c r="AK93" s="18">
        <f t="shared" si="33"/>
        <v>0.70338983050847459</v>
      </c>
    </row>
    <row r="94" spans="1:37" x14ac:dyDescent="0.35">
      <c r="A94" s="11" t="s">
        <v>201</v>
      </c>
      <c r="B94" s="12" t="s">
        <v>202</v>
      </c>
      <c r="C94" s="54" t="s">
        <v>1377</v>
      </c>
      <c r="D94" s="54" t="s">
        <v>190</v>
      </c>
      <c r="E94" s="66">
        <f t="shared" si="18"/>
        <v>53</v>
      </c>
      <c r="F94" s="13">
        <f t="shared" si="19"/>
        <v>53</v>
      </c>
      <c r="G94" s="67">
        <f t="shared" si="20"/>
        <v>0</v>
      </c>
      <c r="H94" s="64">
        <f t="shared" si="17"/>
        <v>53</v>
      </c>
      <c r="I94" s="80">
        <v>0</v>
      </c>
      <c r="J94" s="80">
        <v>0</v>
      </c>
      <c r="K94" s="59">
        <f t="shared" si="21"/>
        <v>0</v>
      </c>
      <c r="L94" s="59">
        <v>0</v>
      </c>
      <c r="M94" s="59">
        <v>53</v>
      </c>
      <c r="N94" s="59">
        <f t="shared" si="22"/>
        <v>53</v>
      </c>
      <c r="O94" s="15">
        <f t="shared" si="23"/>
        <v>0</v>
      </c>
      <c r="P94" s="87">
        <f t="shared" si="24"/>
        <v>0</v>
      </c>
      <c r="Q94" s="110">
        <v>0</v>
      </c>
      <c r="R94" s="59">
        <v>0</v>
      </c>
      <c r="S94" s="14">
        <v>0</v>
      </c>
      <c r="T94" s="59">
        <v>0</v>
      </c>
      <c r="U94" s="15">
        <f t="shared" si="25"/>
        <v>0</v>
      </c>
      <c r="V94" s="14">
        <v>0</v>
      </c>
      <c r="W94" s="15">
        <f t="shared" si="26"/>
        <v>0</v>
      </c>
      <c r="X94" s="14">
        <v>0</v>
      </c>
      <c r="Y94" s="75">
        <v>0</v>
      </c>
      <c r="Z94" s="87">
        <f t="shared" si="27"/>
        <v>0</v>
      </c>
      <c r="AA94" s="14">
        <f t="shared" si="28"/>
        <v>0</v>
      </c>
      <c r="AB94" s="75">
        <v>0</v>
      </c>
      <c r="AC94" s="75">
        <v>0</v>
      </c>
      <c r="AD94" s="59">
        <f t="shared" si="29"/>
        <v>0</v>
      </c>
      <c r="AE94" s="73">
        <v>0</v>
      </c>
      <c r="AF94" s="73">
        <v>0</v>
      </c>
      <c r="AG94" s="15">
        <f t="shared" si="30"/>
        <v>0</v>
      </c>
      <c r="AH94" s="16">
        <f t="shared" si="31"/>
        <v>0</v>
      </c>
      <c r="AI94" s="17">
        <f t="shared" si="32"/>
        <v>53</v>
      </c>
      <c r="AJ94" s="12">
        <f>VLOOKUP(A94,'PreK Proxy - Sept. 2024'!$A$2:$I$674,9,FALSE)</f>
        <v>91</v>
      </c>
      <c r="AK94" s="18">
        <f t="shared" si="33"/>
        <v>0.58241758241758246</v>
      </c>
    </row>
    <row r="95" spans="1:37" x14ac:dyDescent="0.35">
      <c r="A95" s="11" t="s">
        <v>203</v>
      </c>
      <c r="B95" s="12" t="s">
        <v>204</v>
      </c>
      <c r="C95" s="54" t="s">
        <v>1377</v>
      </c>
      <c r="D95" s="54" t="s">
        <v>190</v>
      </c>
      <c r="E95" s="66">
        <f t="shared" si="18"/>
        <v>80</v>
      </c>
      <c r="F95" s="13">
        <f t="shared" si="19"/>
        <v>80</v>
      </c>
      <c r="G95" s="67">
        <f t="shared" si="20"/>
        <v>0</v>
      </c>
      <c r="H95" s="64">
        <f t="shared" si="17"/>
        <v>80</v>
      </c>
      <c r="I95" s="80">
        <v>0</v>
      </c>
      <c r="J95" s="80">
        <v>0</v>
      </c>
      <c r="K95" s="59">
        <f t="shared" si="21"/>
        <v>0</v>
      </c>
      <c r="L95" s="59">
        <v>0</v>
      </c>
      <c r="M95" s="59">
        <v>80</v>
      </c>
      <c r="N95" s="59">
        <f t="shared" si="22"/>
        <v>80</v>
      </c>
      <c r="O95" s="15">
        <f t="shared" si="23"/>
        <v>0</v>
      </c>
      <c r="P95" s="87">
        <f t="shared" si="24"/>
        <v>0</v>
      </c>
      <c r="Q95" s="110">
        <v>0</v>
      </c>
      <c r="R95" s="59">
        <v>0</v>
      </c>
      <c r="S95" s="14">
        <v>0</v>
      </c>
      <c r="T95" s="59">
        <v>0</v>
      </c>
      <c r="U95" s="15">
        <f t="shared" si="25"/>
        <v>0</v>
      </c>
      <c r="V95" s="14">
        <v>0</v>
      </c>
      <c r="W95" s="15">
        <f t="shared" si="26"/>
        <v>0</v>
      </c>
      <c r="X95" s="14">
        <v>0</v>
      </c>
      <c r="Y95" s="75">
        <v>0</v>
      </c>
      <c r="Z95" s="87">
        <f t="shared" si="27"/>
        <v>0</v>
      </c>
      <c r="AA95" s="14">
        <f t="shared" si="28"/>
        <v>0</v>
      </c>
      <c r="AB95" s="75">
        <v>0</v>
      </c>
      <c r="AC95" s="75">
        <v>0</v>
      </c>
      <c r="AD95" s="59">
        <f t="shared" si="29"/>
        <v>0</v>
      </c>
      <c r="AE95" s="73">
        <v>0</v>
      </c>
      <c r="AF95" s="73">
        <v>0</v>
      </c>
      <c r="AG95" s="15">
        <f t="shared" si="30"/>
        <v>0</v>
      </c>
      <c r="AH95" s="16">
        <f t="shared" si="31"/>
        <v>0</v>
      </c>
      <c r="AI95" s="17">
        <f t="shared" si="32"/>
        <v>80</v>
      </c>
      <c r="AJ95" s="12">
        <f>VLOOKUP(A95,'PreK Proxy - Sept. 2024'!$A$2:$I$674,9,FALSE)</f>
        <v>79</v>
      </c>
      <c r="AK95" s="18">
        <f t="shared" si="33"/>
        <v>1</v>
      </c>
    </row>
    <row r="96" spans="1:37" x14ac:dyDescent="0.35">
      <c r="A96" s="11" t="s">
        <v>205</v>
      </c>
      <c r="B96" s="12" t="s">
        <v>206</v>
      </c>
      <c r="C96" s="54" t="s">
        <v>1443</v>
      </c>
      <c r="D96" s="54" t="s">
        <v>18</v>
      </c>
      <c r="E96" s="66">
        <f t="shared" si="18"/>
        <v>37</v>
      </c>
      <c r="F96" s="13">
        <f t="shared" si="19"/>
        <v>37</v>
      </c>
      <c r="G96" s="67">
        <f t="shared" si="20"/>
        <v>0</v>
      </c>
      <c r="H96" s="64">
        <f t="shared" si="17"/>
        <v>37</v>
      </c>
      <c r="I96" s="80">
        <v>0</v>
      </c>
      <c r="J96" s="80">
        <v>0</v>
      </c>
      <c r="K96" s="59">
        <f t="shared" si="21"/>
        <v>0</v>
      </c>
      <c r="L96" s="59">
        <v>0</v>
      </c>
      <c r="M96" s="59">
        <v>37</v>
      </c>
      <c r="N96" s="59">
        <f t="shared" si="22"/>
        <v>37</v>
      </c>
      <c r="O96" s="15">
        <f t="shared" si="23"/>
        <v>0</v>
      </c>
      <c r="P96" s="87">
        <f t="shared" si="24"/>
        <v>0</v>
      </c>
      <c r="Q96" s="110">
        <v>0</v>
      </c>
      <c r="R96" s="59">
        <v>0</v>
      </c>
      <c r="S96" s="14">
        <v>0</v>
      </c>
      <c r="T96" s="59">
        <v>0</v>
      </c>
      <c r="U96" s="15">
        <f t="shared" si="25"/>
        <v>0</v>
      </c>
      <c r="V96" s="14">
        <v>0</v>
      </c>
      <c r="W96" s="15">
        <f t="shared" si="26"/>
        <v>0</v>
      </c>
      <c r="X96" s="14">
        <v>0</v>
      </c>
      <c r="Y96" s="75">
        <v>0</v>
      </c>
      <c r="Z96" s="87">
        <f t="shared" si="27"/>
        <v>0</v>
      </c>
      <c r="AA96" s="14">
        <f t="shared" si="28"/>
        <v>0</v>
      </c>
      <c r="AB96" s="75">
        <v>0</v>
      </c>
      <c r="AC96" s="75">
        <v>0</v>
      </c>
      <c r="AD96" s="59">
        <f t="shared" si="29"/>
        <v>0</v>
      </c>
      <c r="AE96" s="73">
        <v>0</v>
      </c>
      <c r="AF96" s="73">
        <v>0</v>
      </c>
      <c r="AG96" s="15">
        <f t="shared" si="30"/>
        <v>0</v>
      </c>
      <c r="AH96" s="16">
        <f t="shared" si="31"/>
        <v>0</v>
      </c>
      <c r="AI96" s="17">
        <f t="shared" si="32"/>
        <v>37</v>
      </c>
      <c r="AJ96" s="12">
        <f>VLOOKUP(A96,'PreK Proxy - Sept. 2024'!$A$2:$I$674,9,FALSE)</f>
        <v>72</v>
      </c>
      <c r="AK96" s="18">
        <f t="shared" si="33"/>
        <v>0.51388888888888884</v>
      </c>
    </row>
    <row r="97" spans="1:37" x14ac:dyDescent="0.35">
      <c r="A97" s="11" t="s">
        <v>207</v>
      </c>
      <c r="B97" s="12" t="s">
        <v>208</v>
      </c>
      <c r="C97" s="54" t="s">
        <v>1443</v>
      </c>
      <c r="D97" s="54" t="s">
        <v>18</v>
      </c>
      <c r="E97" s="66">
        <f t="shared" si="18"/>
        <v>29</v>
      </c>
      <c r="F97" s="13">
        <f t="shared" si="19"/>
        <v>29</v>
      </c>
      <c r="G97" s="67">
        <f t="shared" si="20"/>
        <v>0</v>
      </c>
      <c r="H97" s="64">
        <f t="shared" si="17"/>
        <v>0</v>
      </c>
      <c r="I97" s="80">
        <v>0</v>
      </c>
      <c r="J97" s="80">
        <v>0</v>
      </c>
      <c r="K97" s="59">
        <f t="shared" si="21"/>
        <v>0</v>
      </c>
      <c r="L97" s="59">
        <v>0</v>
      </c>
      <c r="M97" s="59">
        <v>0</v>
      </c>
      <c r="N97" s="59">
        <f t="shared" si="22"/>
        <v>0</v>
      </c>
      <c r="O97" s="15">
        <f t="shared" si="23"/>
        <v>0</v>
      </c>
      <c r="P97" s="87">
        <f t="shared" si="24"/>
        <v>0</v>
      </c>
      <c r="Q97" s="110">
        <v>0</v>
      </c>
      <c r="R97" s="59">
        <v>0</v>
      </c>
      <c r="S97" s="14">
        <v>29</v>
      </c>
      <c r="T97" s="59">
        <v>0</v>
      </c>
      <c r="U97" s="15">
        <f t="shared" si="25"/>
        <v>29</v>
      </c>
      <c r="V97" s="14">
        <v>0</v>
      </c>
      <c r="W97" s="15">
        <f t="shared" si="26"/>
        <v>0</v>
      </c>
      <c r="X97" s="14">
        <v>0</v>
      </c>
      <c r="Y97" s="75">
        <v>0</v>
      </c>
      <c r="Z97" s="87">
        <f t="shared" si="27"/>
        <v>0</v>
      </c>
      <c r="AA97" s="14">
        <f t="shared" si="28"/>
        <v>0</v>
      </c>
      <c r="AB97" s="75">
        <v>0</v>
      </c>
      <c r="AC97" s="75">
        <v>0</v>
      </c>
      <c r="AD97" s="59">
        <f t="shared" si="29"/>
        <v>0</v>
      </c>
      <c r="AE97" s="73">
        <v>0</v>
      </c>
      <c r="AF97" s="73">
        <v>0</v>
      </c>
      <c r="AG97" s="15">
        <f t="shared" si="30"/>
        <v>0</v>
      </c>
      <c r="AH97" s="16">
        <f t="shared" si="31"/>
        <v>0</v>
      </c>
      <c r="AI97" s="17">
        <f t="shared" si="32"/>
        <v>29</v>
      </c>
      <c r="AJ97" s="12">
        <f>VLOOKUP(A97,'PreK Proxy - Sept. 2024'!$A$2:$I$674,9,FALSE)</f>
        <v>28</v>
      </c>
      <c r="AK97" s="18">
        <f t="shared" si="33"/>
        <v>1</v>
      </c>
    </row>
    <row r="98" spans="1:37" x14ac:dyDescent="0.35">
      <c r="A98" s="11" t="s">
        <v>209</v>
      </c>
      <c r="B98" s="12" t="s">
        <v>210</v>
      </c>
      <c r="C98" s="54" t="s">
        <v>1443</v>
      </c>
      <c r="D98" s="54" t="s">
        <v>18</v>
      </c>
      <c r="E98" s="66">
        <f t="shared" si="18"/>
        <v>43</v>
      </c>
      <c r="F98" s="13">
        <f t="shared" si="19"/>
        <v>43</v>
      </c>
      <c r="G98" s="67">
        <f t="shared" si="20"/>
        <v>0</v>
      </c>
      <c r="H98" s="64">
        <f t="shared" si="17"/>
        <v>0</v>
      </c>
      <c r="I98" s="80">
        <v>0</v>
      </c>
      <c r="J98" s="80">
        <v>0</v>
      </c>
      <c r="K98" s="59">
        <f t="shared" si="21"/>
        <v>0</v>
      </c>
      <c r="L98" s="59">
        <v>0</v>
      </c>
      <c r="M98" s="59">
        <v>0</v>
      </c>
      <c r="N98" s="59">
        <f t="shared" si="22"/>
        <v>0</v>
      </c>
      <c r="O98" s="15">
        <f t="shared" si="23"/>
        <v>0</v>
      </c>
      <c r="P98" s="87">
        <f t="shared" si="24"/>
        <v>20</v>
      </c>
      <c r="Q98" s="110">
        <v>0</v>
      </c>
      <c r="R98" s="59">
        <v>20</v>
      </c>
      <c r="S98" s="14">
        <v>0</v>
      </c>
      <c r="T98" s="59">
        <v>0</v>
      </c>
      <c r="U98" s="15">
        <f t="shared" si="25"/>
        <v>0</v>
      </c>
      <c r="V98" s="14">
        <v>0</v>
      </c>
      <c r="W98" s="15">
        <f t="shared" si="26"/>
        <v>0</v>
      </c>
      <c r="X98" s="14">
        <v>23</v>
      </c>
      <c r="Y98" s="75">
        <v>0</v>
      </c>
      <c r="Z98" s="87">
        <f t="shared" si="27"/>
        <v>23</v>
      </c>
      <c r="AA98" s="14">
        <f t="shared" si="28"/>
        <v>0</v>
      </c>
      <c r="AB98" s="75">
        <v>0</v>
      </c>
      <c r="AC98" s="75">
        <v>0</v>
      </c>
      <c r="AD98" s="59">
        <f t="shared" si="29"/>
        <v>0</v>
      </c>
      <c r="AE98" s="73">
        <v>0</v>
      </c>
      <c r="AF98" s="73">
        <v>0</v>
      </c>
      <c r="AG98" s="15">
        <f t="shared" si="30"/>
        <v>0</v>
      </c>
      <c r="AH98" s="16">
        <f t="shared" si="31"/>
        <v>0</v>
      </c>
      <c r="AI98" s="17">
        <f t="shared" si="32"/>
        <v>43</v>
      </c>
      <c r="AJ98" s="12">
        <f>VLOOKUP(A98,'PreK Proxy - Sept. 2024'!$A$2:$I$674,9,FALSE)</f>
        <v>43</v>
      </c>
      <c r="AK98" s="18">
        <f t="shared" si="33"/>
        <v>1</v>
      </c>
    </row>
    <row r="99" spans="1:37" x14ac:dyDescent="0.35">
      <c r="A99" s="11" t="s">
        <v>211</v>
      </c>
      <c r="B99" s="12" t="s">
        <v>1392</v>
      </c>
      <c r="C99" s="54" t="s">
        <v>1443</v>
      </c>
      <c r="D99" s="54" t="s">
        <v>18</v>
      </c>
      <c r="E99" s="66">
        <f t="shared" si="18"/>
        <v>53</v>
      </c>
      <c r="F99" s="13">
        <f t="shared" si="19"/>
        <v>53</v>
      </c>
      <c r="G99" s="67">
        <f t="shared" si="20"/>
        <v>0</v>
      </c>
      <c r="H99" s="64">
        <f t="shared" si="17"/>
        <v>38</v>
      </c>
      <c r="I99" s="80">
        <v>0</v>
      </c>
      <c r="J99" s="80">
        <v>0</v>
      </c>
      <c r="K99" s="59">
        <f t="shared" si="21"/>
        <v>0</v>
      </c>
      <c r="L99" s="59">
        <v>0</v>
      </c>
      <c r="M99" s="59">
        <v>38</v>
      </c>
      <c r="N99" s="59">
        <f t="shared" si="22"/>
        <v>38</v>
      </c>
      <c r="O99" s="15">
        <f t="shared" si="23"/>
        <v>0</v>
      </c>
      <c r="P99" s="87">
        <f t="shared" si="24"/>
        <v>0</v>
      </c>
      <c r="Q99" s="110">
        <v>0</v>
      </c>
      <c r="R99" s="59">
        <v>0</v>
      </c>
      <c r="S99" s="14">
        <v>0</v>
      </c>
      <c r="T99" s="59">
        <v>0</v>
      </c>
      <c r="U99" s="15">
        <f t="shared" si="25"/>
        <v>0</v>
      </c>
      <c r="V99" s="14">
        <v>0</v>
      </c>
      <c r="W99" s="15">
        <f t="shared" si="26"/>
        <v>0</v>
      </c>
      <c r="X99" s="14">
        <v>0</v>
      </c>
      <c r="Y99" s="75">
        <v>0</v>
      </c>
      <c r="Z99" s="87">
        <f t="shared" si="27"/>
        <v>0</v>
      </c>
      <c r="AA99" s="14">
        <f t="shared" si="28"/>
        <v>15</v>
      </c>
      <c r="AB99" s="75">
        <v>0</v>
      </c>
      <c r="AC99" s="75">
        <v>0</v>
      </c>
      <c r="AD99" s="59">
        <f t="shared" si="29"/>
        <v>0</v>
      </c>
      <c r="AE99" s="73">
        <v>0</v>
      </c>
      <c r="AF99" s="73">
        <v>15</v>
      </c>
      <c r="AG99" s="15">
        <f t="shared" si="30"/>
        <v>15</v>
      </c>
      <c r="AH99" s="16">
        <f t="shared" si="31"/>
        <v>0</v>
      </c>
      <c r="AI99" s="17">
        <f t="shared" si="32"/>
        <v>53</v>
      </c>
      <c r="AJ99" s="12">
        <f>VLOOKUP(A99,'PreK Proxy - Sept. 2024'!$A$2:$I$674,9,FALSE)</f>
        <v>104</v>
      </c>
      <c r="AK99" s="18">
        <f t="shared" si="33"/>
        <v>0.50961538461538458</v>
      </c>
    </row>
    <row r="100" spans="1:37" x14ac:dyDescent="0.35">
      <c r="A100" s="11" t="s">
        <v>212</v>
      </c>
      <c r="B100" s="12" t="s">
        <v>1391</v>
      </c>
      <c r="C100" s="54" t="s">
        <v>1443</v>
      </c>
      <c r="D100" s="54" t="s">
        <v>18</v>
      </c>
      <c r="E100" s="66">
        <f t="shared" si="18"/>
        <v>28</v>
      </c>
      <c r="F100" s="13">
        <f t="shared" si="19"/>
        <v>0</v>
      </c>
      <c r="G100" s="67">
        <f t="shared" si="20"/>
        <v>28</v>
      </c>
      <c r="H100" s="64">
        <f t="shared" si="17"/>
        <v>0</v>
      </c>
      <c r="I100" s="80">
        <v>0</v>
      </c>
      <c r="J100" s="80">
        <v>0</v>
      </c>
      <c r="K100" s="59">
        <f t="shared" si="21"/>
        <v>0</v>
      </c>
      <c r="L100" s="59">
        <v>0</v>
      </c>
      <c r="M100" s="59">
        <v>0</v>
      </c>
      <c r="N100" s="59">
        <f t="shared" si="22"/>
        <v>0</v>
      </c>
      <c r="O100" s="15">
        <f t="shared" si="23"/>
        <v>0</v>
      </c>
      <c r="P100" s="87">
        <f t="shared" si="24"/>
        <v>0</v>
      </c>
      <c r="Q100" s="110">
        <v>0</v>
      </c>
      <c r="R100" s="59">
        <v>0</v>
      </c>
      <c r="S100" s="14">
        <v>0</v>
      </c>
      <c r="T100" s="59">
        <v>0</v>
      </c>
      <c r="U100" s="15">
        <f t="shared" si="25"/>
        <v>0</v>
      </c>
      <c r="V100" s="14">
        <v>0</v>
      </c>
      <c r="W100" s="15">
        <f t="shared" si="26"/>
        <v>0</v>
      </c>
      <c r="X100" s="14">
        <v>0</v>
      </c>
      <c r="Y100" s="75">
        <v>0</v>
      </c>
      <c r="Z100" s="87">
        <f t="shared" si="27"/>
        <v>0</v>
      </c>
      <c r="AA100" s="14">
        <f t="shared" si="28"/>
        <v>28</v>
      </c>
      <c r="AB100" s="75">
        <v>0</v>
      </c>
      <c r="AC100" s="75">
        <v>28</v>
      </c>
      <c r="AD100" s="59">
        <f t="shared" si="29"/>
        <v>28</v>
      </c>
      <c r="AE100" s="73">
        <v>0</v>
      </c>
      <c r="AF100" s="73">
        <v>0</v>
      </c>
      <c r="AG100" s="15">
        <f t="shared" si="30"/>
        <v>0</v>
      </c>
      <c r="AH100" s="16">
        <f t="shared" si="31"/>
        <v>28</v>
      </c>
      <c r="AI100" s="17">
        <f t="shared" si="32"/>
        <v>0</v>
      </c>
      <c r="AJ100" s="12">
        <f>VLOOKUP(A100,'PreK Proxy - Sept. 2024'!$A$2:$I$674,9,FALSE)</f>
        <v>89</v>
      </c>
      <c r="AK100" s="18">
        <f t="shared" si="33"/>
        <v>0.3146067415730337</v>
      </c>
    </row>
    <row r="101" spans="1:37" x14ac:dyDescent="0.35">
      <c r="A101" s="11" t="s">
        <v>213</v>
      </c>
      <c r="B101" s="12" t="s">
        <v>214</v>
      </c>
      <c r="C101" s="54" t="s">
        <v>1443</v>
      </c>
      <c r="D101" s="54" t="s">
        <v>18</v>
      </c>
      <c r="E101" s="66">
        <f t="shared" si="18"/>
        <v>18</v>
      </c>
      <c r="F101" s="13">
        <f t="shared" si="19"/>
        <v>18</v>
      </c>
      <c r="G101" s="67">
        <f t="shared" si="20"/>
        <v>0</v>
      </c>
      <c r="H101" s="64">
        <f t="shared" si="17"/>
        <v>0</v>
      </c>
      <c r="I101" s="80">
        <v>0</v>
      </c>
      <c r="J101" s="80">
        <v>0</v>
      </c>
      <c r="K101" s="59">
        <f t="shared" si="21"/>
        <v>0</v>
      </c>
      <c r="L101" s="59">
        <v>0</v>
      </c>
      <c r="M101" s="59">
        <v>0</v>
      </c>
      <c r="N101" s="59">
        <f t="shared" si="22"/>
        <v>0</v>
      </c>
      <c r="O101" s="15">
        <f t="shared" si="23"/>
        <v>0</v>
      </c>
      <c r="P101" s="87">
        <f t="shared" si="24"/>
        <v>18</v>
      </c>
      <c r="Q101" s="110">
        <v>0</v>
      </c>
      <c r="R101" s="59">
        <v>18</v>
      </c>
      <c r="S101" s="14">
        <v>0</v>
      </c>
      <c r="T101" s="59">
        <v>0</v>
      </c>
      <c r="U101" s="15">
        <f t="shared" si="25"/>
        <v>0</v>
      </c>
      <c r="V101" s="14">
        <v>0</v>
      </c>
      <c r="W101" s="15">
        <f t="shared" si="26"/>
        <v>0</v>
      </c>
      <c r="X101" s="14">
        <v>0</v>
      </c>
      <c r="Y101" s="75">
        <v>0</v>
      </c>
      <c r="Z101" s="87">
        <f t="shared" si="27"/>
        <v>0</v>
      </c>
      <c r="AA101" s="14">
        <f t="shared" si="28"/>
        <v>0</v>
      </c>
      <c r="AB101" s="75">
        <v>0</v>
      </c>
      <c r="AC101" s="75">
        <v>0</v>
      </c>
      <c r="AD101" s="59">
        <f t="shared" si="29"/>
        <v>0</v>
      </c>
      <c r="AE101" s="73">
        <v>0</v>
      </c>
      <c r="AF101" s="73">
        <v>0</v>
      </c>
      <c r="AG101" s="15">
        <f t="shared" si="30"/>
        <v>0</v>
      </c>
      <c r="AH101" s="16">
        <f t="shared" si="31"/>
        <v>0</v>
      </c>
      <c r="AI101" s="17">
        <f t="shared" si="32"/>
        <v>18</v>
      </c>
      <c r="AJ101" s="12">
        <f>VLOOKUP(A101,'PreK Proxy - Sept. 2024'!$A$2:$I$674,9,FALSE)</f>
        <v>25</v>
      </c>
      <c r="AK101" s="18">
        <f t="shared" si="33"/>
        <v>0.72</v>
      </c>
    </row>
    <row r="102" spans="1:37" x14ac:dyDescent="0.35">
      <c r="A102" s="11" t="s">
        <v>215</v>
      </c>
      <c r="B102" s="12" t="s">
        <v>216</v>
      </c>
      <c r="C102" s="54" t="s">
        <v>1371</v>
      </c>
      <c r="D102" s="54" t="s">
        <v>117</v>
      </c>
      <c r="E102" s="66">
        <f t="shared" si="18"/>
        <v>24</v>
      </c>
      <c r="F102" s="13">
        <f t="shared" si="19"/>
        <v>24</v>
      </c>
      <c r="G102" s="67">
        <f t="shared" si="20"/>
        <v>0</v>
      </c>
      <c r="H102" s="64">
        <f t="shared" si="17"/>
        <v>24</v>
      </c>
      <c r="I102" s="80">
        <v>0</v>
      </c>
      <c r="J102" s="80">
        <v>0</v>
      </c>
      <c r="K102" s="59">
        <f t="shared" si="21"/>
        <v>0</v>
      </c>
      <c r="L102" s="59">
        <v>0</v>
      </c>
      <c r="M102" s="59">
        <v>24</v>
      </c>
      <c r="N102" s="59">
        <f t="shared" si="22"/>
        <v>24</v>
      </c>
      <c r="O102" s="15">
        <f t="shared" si="23"/>
        <v>0</v>
      </c>
      <c r="P102" s="87">
        <f t="shared" si="24"/>
        <v>0</v>
      </c>
      <c r="Q102" s="110">
        <v>0</v>
      </c>
      <c r="R102" s="59">
        <v>0</v>
      </c>
      <c r="S102" s="14">
        <v>0</v>
      </c>
      <c r="T102" s="59">
        <v>0</v>
      </c>
      <c r="U102" s="15">
        <f t="shared" si="25"/>
        <v>0</v>
      </c>
      <c r="V102" s="14">
        <v>0</v>
      </c>
      <c r="W102" s="15">
        <f t="shared" si="26"/>
        <v>0</v>
      </c>
      <c r="X102" s="14">
        <v>0</v>
      </c>
      <c r="Y102" s="75">
        <v>0</v>
      </c>
      <c r="Z102" s="87">
        <f t="shared" si="27"/>
        <v>0</v>
      </c>
      <c r="AA102" s="14">
        <f t="shared" si="28"/>
        <v>0</v>
      </c>
      <c r="AB102" s="75">
        <v>0</v>
      </c>
      <c r="AC102" s="75">
        <v>0</v>
      </c>
      <c r="AD102" s="59">
        <f t="shared" si="29"/>
        <v>0</v>
      </c>
      <c r="AE102" s="73">
        <v>0</v>
      </c>
      <c r="AF102" s="73">
        <v>0</v>
      </c>
      <c r="AG102" s="15">
        <f t="shared" si="30"/>
        <v>0</v>
      </c>
      <c r="AH102" s="16">
        <f t="shared" si="31"/>
        <v>0</v>
      </c>
      <c r="AI102" s="17">
        <f t="shared" si="32"/>
        <v>24</v>
      </c>
      <c r="AJ102" s="12">
        <f>VLOOKUP(A102,'PreK Proxy - Sept. 2024'!$A$2:$I$674,9,FALSE)</f>
        <v>30</v>
      </c>
      <c r="AK102" s="18">
        <f t="shared" si="33"/>
        <v>0.8</v>
      </c>
    </row>
    <row r="103" spans="1:37" x14ac:dyDescent="0.35">
      <c r="A103" s="11" t="s">
        <v>217</v>
      </c>
      <c r="B103" s="12" t="s">
        <v>218</v>
      </c>
      <c r="C103" s="54" t="s">
        <v>1371</v>
      </c>
      <c r="D103" s="54" t="s">
        <v>117</v>
      </c>
      <c r="E103" s="66">
        <f t="shared" si="18"/>
        <v>98</v>
      </c>
      <c r="F103" s="13">
        <f t="shared" si="19"/>
        <v>18</v>
      </c>
      <c r="G103" s="67">
        <f t="shared" si="20"/>
        <v>80</v>
      </c>
      <c r="H103" s="64">
        <f t="shared" si="17"/>
        <v>98</v>
      </c>
      <c r="I103" s="80">
        <v>1</v>
      </c>
      <c r="J103" s="80">
        <v>79</v>
      </c>
      <c r="K103" s="59">
        <f t="shared" si="21"/>
        <v>80</v>
      </c>
      <c r="L103" s="59">
        <v>0</v>
      </c>
      <c r="M103" s="59">
        <v>18</v>
      </c>
      <c r="N103" s="59">
        <f t="shared" si="22"/>
        <v>18</v>
      </c>
      <c r="O103" s="15">
        <f t="shared" si="23"/>
        <v>0</v>
      </c>
      <c r="P103" s="87">
        <f t="shared" si="24"/>
        <v>0</v>
      </c>
      <c r="Q103" s="110">
        <v>0</v>
      </c>
      <c r="R103" s="59">
        <v>0</v>
      </c>
      <c r="S103" s="14">
        <v>0</v>
      </c>
      <c r="T103" s="59">
        <v>0</v>
      </c>
      <c r="U103" s="15">
        <f t="shared" si="25"/>
        <v>0</v>
      </c>
      <c r="V103" s="14">
        <v>0</v>
      </c>
      <c r="W103" s="15">
        <f t="shared" si="26"/>
        <v>0</v>
      </c>
      <c r="X103" s="14">
        <v>0</v>
      </c>
      <c r="Y103" s="75">
        <v>0</v>
      </c>
      <c r="Z103" s="87">
        <f t="shared" si="27"/>
        <v>0</v>
      </c>
      <c r="AA103" s="14">
        <f t="shared" si="28"/>
        <v>0</v>
      </c>
      <c r="AB103" s="75">
        <v>0</v>
      </c>
      <c r="AC103" s="75">
        <v>0</v>
      </c>
      <c r="AD103" s="59">
        <f t="shared" si="29"/>
        <v>0</v>
      </c>
      <c r="AE103" s="73">
        <v>0</v>
      </c>
      <c r="AF103" s="73">
        <v>0</v>
      </c>
      <c r="AG103" s="15">
        <f t="shared" si="30"/>
        <v>0</v>
      </c>
      <c r="AH103" s="16">
        <f t="shared" si="31"/>
        <v>79</v>
      </c>
      <c r="AI103" s="17">
        <f t="shared" si="32"/>
        <v>18</v>
      </c>
      <c r="AJ103" s="12">
        <f>VLOOKUP(A103,'PreK Proxy - Sept. 2024'!$A$2:$I$674,9,FALSE)</f>
        <v>119</v>
      </c>
      <c r="AK103" s="18">
        <f t="shared" si="33"/>
        <v>0.81512605042016806</v>
      </c>
    </row>
    <row r="104" spans="1:37" x14ac:dyDescent="0.35">
      <c r="A104" s="11" t="s">
        <v>219</v>
      </c>
      <c r="B104" s="12" t="s">
        <v>220</v>
      </c>
      <c r="C104" s="54" t="s">
        <v>1371</v>
      </c>
      <c r="D104" s="54" t="s">
        <v>117</v>
      </c>
      <c r="E104" s="66">
        <f t="shared" si="18"/>
        <v>38</v>
      </c>
      <c r="F104" s="13">
        <f t="shared" si="19"/>
        <v>38</v>
      </c>
      <c r="G104" s="67">
        <f t="shared" si="20"/>
        <v>0</v>
      </c>
      <c r="H104" s="64">
        <f t="shared" si="17"/>
        <v>38</v>
      </c>
      <c r="I104" s="80">
        <v>0</v>
      </c>
      <c r="J104" s="80">
        <v>0</v>
      </c>
      <c r="K104" s="59">
        <f t="shared" si="21"/>
        <v>0</v>
      </c>
      <c r="L104" s="59">
        <v>20</v>
      </c>
      <c r="M104" s="59">
        <v>18</v>
      </c>
      <c r="N104" s="59">
        <f t="shared" si="22"/>
        <v>38</v>
      </c>
      <c r="O104" s="15">
        <f t="shared" si="23"/>
        <v>0</v>
      </c>
      <c r="P104" s="87">
        <f t="shared" si="24"/>
        <v>0</v>
      </c>
      <c r="Q104" s="110">
        <v>0</v>
      </c>
      <c r="R104" s="59">
        <v>0</v>
      </c>
      <c r="S104" s="14">
        <v>0</v>
      </c>
      <c r="T104" s="59">
        <v>0</v>
      </c>
      <c r="U104" s="15">
        <f t="shared" si="25"/>
        <v>0</v>
      </c>
      <c r="V104" s="14">
        <v>0</v>
      </c>
      <c r="W104" s="15">
        <f t="shared" si="26"/>
        <v>0</v>
      </c>
      <c r="X104" s="14">
        <v>0</v>
      </c>
      <c r="Y104" s="75">
        <v>0</v>
      </c>
      <c r="Z104" s="87">
        <f t="shared" si="27"/>
        <v>0</v>
      </c>
      <c r="AA104" s="14">
        <f t="shared" si="28"/>
        <v>0</v>
      </c>
      <c r="AB104" s="75">
        <v>0</v>
      </c>
      <c r="AC104" s="75">
        <v>0</v>
      </c>
      <c r="AD104" s="59">
        <f t="shared" si="29"/>
        <v>0</v>
      </c>
      <c r="AE104" s="73">
        <v>0</v>
      </c>
      <c r="AF104" s="73">
        <v>0</v>
      </c>
      <c r="AG104" s="15">
        <f t="shared" si="30"/>
        <v>0</v>
      </c>
      <c r="AH104" s="16">
        <f t="shared" si="31"/>
        <v>0</v>
      </c>
      <c r="AI104" s="17">
        <f t="shared" si="32"/>
        <v>18</v>
      </c>
      <c r="AJ104" s="12">
        <f>VLOOKUP(A104,'PreK Proxy - Sept. 2024'!$A$2:$I$674,9,FALSE)</f>
        <v>31</v>
      </c>
      <c r="AK104" s="18">
        <f t="shared" si="33"/>
        <v>0.58064516129032262</v>
      </c>
    </row>
    <row r="105" spans="1:37" x14ac:dyDescent="0.35">
      <c r="A105" s="11" t="s">
        <v>221</v>
      </c>
      <c r="B105" s="12" t="s">
        <v>222</v>
      </c>
      <c r="C105" s="54" t="s">
        <v>1371</v>
      </c>
      <c r="D105" s="54" t="s">
        <v>117</v>
      </c>
      <c r="E105" s="66">
        <f t="shared" si="18"/>
        <v>84</v>
      </c>
      <c r="F105" s="13">
        <f t="shared" si="19"/>
        <v>84</v>
      </c>
      <c r="G105" s="67">
        <f t="shared" si="20"/>
        <v>0</v>
      </c>
      <c r="H105" s="64">
        <f t="shared" si="17"/>
        <v>84</v>
      </c>
      <c r="I105" s="80">
        <v>0</v>
      </c>
      <c r="J105" s="80">
        <v>0</v>
      </c>
      <c r="K105" s="59">
        <f t="shared" si="21"/>
        <v>0</v>
      </c>
      <c r="L105" s="59">
        <v>0</v>
      </c>
      <c r="M105" s="59">
        <v>84</v>
      </c>
      <c r="N105" s="59">
        <f t="shared" si="22"/>
        <v>84</v>
      </c>
      <c r="O105" s="15">
        <f t="shared" si="23"/>
        <v>0</v>
      </c>
      <c r="P105" s="87">
        <f t="shared" si="24"/>
        <v>0</v>
      </c>
      <c r="Q105" s="110">
        <v>0</v>
      </c>
      <c r="R105" s="59">
        <v>0</v>
      </c>
      <c r="S105" s="14">
        <v>0</v>
      </c>
      <c r="T105" s="59">
        <v>0</v>
      </c>
      <c r="U105" s="15">
        <f t="shared" si="25"/>
        <v>0</v>
      </c>
      <c r="V105" s="14">
        <v>0</v>
      </c>
      <c r="W105" s="15">
        <f t="shared" si="26"/>
        <v>0</v>
      </c>
      <c r="X105" s="14">
        <v>0</v>
      </c>
      <c r="Y105" s="75">
        <v>0</v>
      </c>
      <c r="Z105" s="87">
        <f t="shared" si="27"/>
        <v>0</v>
      </c>
      <c r="AA105" s="14">
        <f t="shared" si="28"/>
        <v>0</v>
      </c>
      <c r="AB105" s="75">
        <v>0</v>
      </c>
      <c r="AC105" s="75">
        <v>0</v>
      </c>
      <c r="AD105" s="59">
        <f t="shared" si="29"/>
        <v>0</v>
      </c>
      <c r="AE105" s="73">
        <v>0</v>
      </c>
      <c r="AF105" s="73">
        <v>0</v>
      </c>
      <c r="AG105" s="15">
        <f t="shared" si="30"/>
        <v>0</v>
      </c>
      <c r="AH105" s="16">
        <f t="shared" si="31"/>
        <v>0</v>
      </c>
      <c r="AI105" s="17">
        <f t="shared" si="32"/>
        <v>84</v>
      </c>
      <c r="AJ105" s="12">
        <f>VLOOKUP(A105,'PreK Proxy - Sept. 2024'!$A$2:$I$674,9,FALSE)</f>
        <v>102</v>
      </c>
      <c r="AK105" s="18">
        <f t="shared" si="33"/>
        <v>0.82352941176470584</v>
      </c>
    </row>
    <row r="106" spans="1:37" x14ac:dyDescent="0.35">
      <c r="A106" s="11" t="s">
        <v>223</v>
      </c>
      <c r="B106" s="12" t="s">
        <v>224</v>
      </c>
      <c r="C106" s="54" t="s">
        <v>1371</v>
      </c>
      <c r="D106" s="54" t="s">
        <v>117</v>
      </c>
      <c r="E106" s="66">
        <f t="shared" si="18"/>
        <v>33</v>
      </c>
      <c r="F106" s="13">
        <f t="shared" si="19"/>
        <v>33</v>
      </c>
      <c r="G106" s="67">
        <f t="shared" si="20"/>
        <v>0</v>
      </c>
      <c r="H106" s="64">
        <f t="shared" si="17"/>
        <v>33</v>
      </c>
      <c r="I106" s="80">
        <v>0</v>
      </c>
      <c r="J106" s="80">
        <v>0</v>
      </c>
      <c r="K106" s="59">
        <f t="shared" si="21"/>
        <v>0</v>
      </c>
      <c r="L106" s="59">
        <v>0</v>
      </c>
      <c r="M106" s="59">
        <v>33</v>
      </c>
      <c r="N106" s="59">
        <f t="shared" si="22"/>
        <v>33</v>
      </c>
      <c r="O106" s="15">
        <f t="shared" si="23"/>
        <v>0</v>
      </c>
      <c r="P106" s="87">
        <f t="shared" si="24"/>
        <v>0</v>
      </c>
      <c r="Q106" s="110">
        <v>0</v>
      </c>
      <c r="R106" s="59">
        <v>0</v>
      </c>
      <c r="S106" s="14">
        <v>0</v>
      </c>
      <c r="T106" s="59">
        <v>0</v>
      </c>
      <c r="U106" s="15">
        <f t="shared" si="25"/>
        <v>0</v>
      </c>
      <c r="V106" s="14">
        <v>0</v>
      </c>
      <c r="W106" s="15">
        <f t="shared" si="26"/>
        <v>0</v>
      </c>
      <c r="X106" s="14">
        <v>0</v>
      </c>
      <c r="Y106" s="75">
        <v>0</v>
      </c>
      <c r="Z106" s="87">
        <f t="shared" si="27"/>
        <v>0</v>
      </c>
      <c r="AA106" s="14">
        <f t="shared" si="28"/>
        <v>0</v>
      </c>
      <c r="AB106" s="75">
        <v>0</v>
      </c>
      <c r="AC106" s="75">
        <v>0</v>
      </c>
      <c r="AD106" s="59">
        <f t="shared" si="29"/>
        <v>0</v>
      </c>
      <c r="AE106" s="73">
        <v>0</v>
      </c>
      <c r="AF106" s="73">
        <v>0</v>
      </c>
      <c r="AG106" s="15">
        <f t="shared" si="30"/>
        <v>0</v>
      </c>
      <c r="AH106" s="16">
        <f t="shared" si="31"/>
        <v>0</v>
      </c>
      <c r="AI106" s="17">
        <f t="shared" si="32"/>
        <v>33</v>
      </c>
      <c r="AJ106" s="12">
        <f>VLOOKUP(A106,'PreK Proxy - Sept. 2024'!$A$2:$I$674,9,FALSE)</f>
        <v>58</v>
      </c>
      <c r="AK106" s="18">
        <f t="shared" si="33"/>
        <v>0.56896551724137934</v>
      </c>
    </row>
    <row r="107" spans="1:37" x14ac:dyDescent="0.35">
      <c r="A107" s="11" t="s">
        <v>225</v>
      </c>
      <c r="B107" s="12" t="s">
        <v>226</v>
      </c>
      <c r="C107" s="54" t="s">
        <v>1458</v>
      </c>
      <c r="D107" s="54" t="s">
        <v>68</v>
      </c>
      <c r="E107" s="66">
        <f t="shared" si="18"/>
        <v>0</v>
      </c>
      <c r="F107" s="13">
        <f t="shared" si="19"/>
        <v>0</v>
      </c>
      <c r="G107" s="67">
        <f t="shared" si="20"/>
        <v>0</v>
      </c>
      <c r="H107" s="64">
        <f t="shared" si="17"/>
        <v>0</v>
      </c>
      <c r="I107" s="80">
        <v>0</v>
      </c>
      <c r="J107" s="80">
        <v>0</v>
      </c>
      <c r="K107" s="59">
        <f t="shared" si="21"/>
        <v>0</v>
      </c>
      <c r="L107" s="59">
        <v>0</v>
      </c>
      <c r="M107" s="59">
        <v>0</v>
      </c>
      <c r="N107" s="59">
        <f t="shared" si="22"/>
        <v>0</v>
      </c>
      <c r="O107" s="15">
        <f t="shared" si="23"/>
        <v>0</v>
      </c>
      <c r="P107" s="87">
        <f t="shared" si="24"/>
        <v>0</v>
      </c>
      <c r="Q107" s="110">
        <v>0</v>
      </c>
      <c r="R107" s="59">
        <v>0</v>
      </c>
      <c r="S107" s="14">
        <v>0</v>
      </c>
      <c r="T107" s="59">
        <v>0</v>
      </c>
      <c r="U107" s="15">
        <f t="shared" si="25"/>
        <v>0</v>
      </c>
      <c r="V107" s="14">
        <v>0</v>
      </c>
      <c r="W107" s="15">
        <f t="shared" si="26"/>
        <v>0</v>
      </c>
      <c r="X107" s="14">
        <v>0</v>
      </c>
      <c r="Y107" s="75">
        <v>0</v>
      </c>
      <c r="Z107" s="87">
        <f t="shared" si="27"/>
        <v>0</v>
      </c>
      <c r="AA107" s="14">
        <f t="shared" si="28"/>
        <v>0</v>
      </c>
      <c r="AB107" s="75">
        <v>0</v>
      </c>
      <c r="AC107" s="75">
        <v>0</v>
      </c>
      <c r="AD107" s="59">
        <f t="shared" si="29"/>
        <v>0</v>
      </c>
      <c r="AE107" s="73">
        <v>0</v>
      </c>
      <c r="AF107" s="73">
        <v>0</v>
      </c>
      <c r="AG107" s="15">
        <f t="shared" si="30"/>
        <v>0</v>
      </c>
      <c r="AH107" s="16">
        <f t="shared" si="31"/>
        <v>0</v>
      </c>
      <c r="AI107" s="17">
        <f t="shared" si="32"/>
        <v>0</v>
      </c>
      <c r="AJ107" s="12">
        <f>VLOOKUP(A107,'PreK Proxy - Sept. 2024'!$A$2:$I$674,9,FALSE)</f>
        <v>2</v>
      </c>
      <c r="AK107" s="18">
        <f t="shared" si="33"/>
        <v>0</v>
      </c>
    </row>
    <row r="108" spans="1:37" x14ac:dyDescent="0.35">
      <c r="A108" s="11" t="s">
        <v>227</v>
      </c>
      <c r="B108" s="12" t="s">
        <v>228</v>
      </c>
      <c r="C108" s="54" t="s">
        <v>1458</v>
      </c>
      <c r="D108" s="54" t="s">
        <v>68</v>
      </c>
      <c r="E108" s="66">
        <f t="shared" si="18"/>
        <v>0</v>
      </c>
      <c r="F108" s="13">
        <f t="shared" si="19"/>
        <v>0</v>
      </c>
      <c r="G108" s="67">
        <f t="shared" si="20"/>
        <v>0</v>
      </c>
      <c r="H108" s="64">
        <f t="shared" si="17"/>
        <v>0</v>
      </c>
      <c r="I108" s="80">
        <v>0</v>
      </c>
      <c r="J108" s="80">
        <v>0</v>
      </c>
      <c r="K108" s="59">
        <f t="shared" si="21"/>
        <v>0</v>
      </c>
      <c r="L108" s="59">
        <v>0</v>
      </c>
      <c r="M108" s="59">
        <v>0</v>
      </c>
      <c r="N108" s="59">
        <f t="shared" si="22"/>
        <v>0</v>
      </c>
      <c r="O108" s="15">
        <f t="shared" si="23"/>
        <v>0</v>
      </c>
      <c r="P108" s="87">
        <f t="shared" si="24"/>
        <v>0</v>
      </c>
      <c r="Q108" s="110">
        <v>0</v>
      </c>
      <c r="R108" s="59">
        <v>0</v>
      </c>
      <c r="S108" s="14">
        <v>0</v>
      </c>
      <c r="T108" s="59">
        <v>0</v>
      </c>
      <c r="U108" s="15">
        <f t="shared" si="25"/>
        <v>0</v>
      </c>
      <c r="V108" s="14">
        <v>0</v>
      </c>
      <c r="W108" s="15">
        <f t="shared" si="26"/>
        <v>0</v>
      </c>
      <c r="X108" s="14">
        <v>0</v>
      </c>
      <c r="Y108" s="75">
        <v>0</v>
      </c>
      <c r="Z108" s="87">
        <f t="shared" si="27"/>
        <v>0</v>
      </c>
      <c r="AA108" s="14">
        <f t="shared" si="28"/>
        <v>0</v>
      </c>
      <c r="AB108" s="75">
        <v>0</v>
      </c>
      <c r="AC108" s="75">
        <v>0</v>
      </c>
      <c r="AD108" s="59">
        <f t="shared" si="29"/>
        <v>0</v>
      </c>
      <c r="AE108" s="73">
        <v>0</v>
      </c>
      <c r="AF108" s="73">
        <v>0</v>
      </c>
      <c r="AG108" s="15">
        <f t="shared" si="30"/>
        <v>0</v>
      </c>
      <c r="AH108" s="16">
        <f t="shared" si="31"/>
        <v>0</v>
      </c>
      <c r="AI108" s="17">
        <f t="shared" si="32"/>
        <v>0</v>
      </c>
      <c r="AJ108" s="12">
        <f>VLOOKUP(A108,'PreK Proxy - Sept. 2024'!$A$2:$I$674,9,FALSE)</f>
        <v>13</v>
      </c>
      <c r="AK108" s="18">
        <f t="shared" si="33"/>
        <v>0</v>
      </c>
    </row>
    <row r="109" spans="1:37" x14ac:dyDescent="0.35">
      <c r="A109" s="11" t="s">
        <v>229</v>
      </c>
      <c r="B109" s="12" t="s">
        <v>230</v>
      </c>
      <c r="C109" s="54" t="s">
        <v>1458</v>
      </c>
      <c r="D109" s="54" t="s">
        <v>68</v>
      </c>
      <c r="E109" s="66">
        <f t="shared" si="18"/>
        <v>12</v>
      </c>
      <c r="F109" s="13">
        <f t="shared" si="19"/>
        <v>12</v>
      </c>
      <c r="G109" s="67">
        <f t="shared" si="20"/>
        <v>0</v>
      </c>
      <c r="H109" s="64">
        <f t="shared" si="17"/>
        <v>12</v>
      </c>
      <c r="I109" s="80">
        <v>0</v>
      </c>
      <c r="J109" s="80">
        <v>0</v>
      </c>
      <c r="K109" s="59">
        <f t="shared" si="21"/>
        <v>0</v>
      </c>
      <c r="L109" s="59">
        <v>0</v>
      </c>
      <c r="M109" s="59">
        <v>12</v>
      </c>
      <c r="N109" s="59">
        <f t="shared" si="22"/>
        <v>12</v>
      </c>
      <c r="O109" s="15">
        <f t="shared" si="23"/>
        <v>0</v>
      </c>
      <c r="P109" s="87">
        <f t="shared" si="24"/>
        <v>0</v>
      </c>
      <c r="Q109" s="110">
        <v>0</v>
      </c>
      <c r="R109" s="59">
        <v>0</v>
      </c>
      <c r="S109" s="14">
        <v>0</v>
      </c>
      <c r="T109" s="59">
        <v>0</v>
      </c>
      <c r="U109" s="15">
        <f t="shared" si="25"/>
        <v>0</v>
      </c>
      <c r="V109" s="14">
        <v>0</v>
      </c>
      <c r="W109" s="15">
        <f t="shared" si="26"/>
        <v>0</v>
      </c>
      <c r="X109" s="14">
        <v>0</v>
      </c>
      <c r="Y109" s="75">
        <v>0</v>
      </c>
      <c r="Z109" s="87">
        <f t="shared" si="27"/>
        <v>0</v>
      </c>
      <c r="AA109" s="14">
        <f t="shared" si="28"/>
        <v>0</v>
      </c>
      <c r="AB109" s="75">
        <v>0</v>
      </c>
      <c r="AC109" s="75">
        <v>0</v>
      </c>
      <c r="AD109" s="59">
        <f t="shared" si="29"/>
        <v>0</v>
      </c>
      <c r="AE109" s="73">
        <v>0</v>
      </c>
      <c r="AF109" s="73">
        <v>0</v>
      </c>
      <c r="AG109" s="15">
        <f t="shared" si="30"/>
        <v>0</v>
      </c>
      <c r="AH109" s="16">
        <f t="shared" si="31"/>
        <v>0</v>
      </c>
      <c r="AI109" s="17">
        <f t="shared" si="32"/>
        <v>12</v>
      </c>
      <c r="AJ109" s="12">
        <f>VLOOKUP(A109,'PreK Proxy - Sept. 2024'!$A$2:$I$674,9,FALSE)</f>
        <v>25</v>
      </c>
      <c r="AK109" s="18">
        <f t="shared" si="33"/>
        <v>0.48</v>
      </c>
    </row>
    <row r="110" spans="1:37" x14ac:dyDescent="0.35">
      <c r="A110" s="11" t="s">
        <v>231</v>
      </c>
      <c r="B110" s="12" t="s">
        <v>232</v>
      </c>
      <c r="C110" s="54" t="s">
        <v>1458</v>
      </c>
      <c r="D110" s="54" t="s">
        <v>68</v>
      </c>
      <c r="E110" s="66">
        <f t="shared" si="18"/>
        <v>18</v>
      </c>
      <c r="F110" s="13">
        <f t="shared" si="19"/>
        <v>18</v>
      </c>
      <c r="G110" s="67">
        <f t="shared" si="20"/>
        <v>0</v>
      </c>
      <c r="H110" s="64">
        <f t="shared" si="17"/>
        <v>0</v>
      </c>
      <c r="I110" s="80">
        <v>0</v>
      </c>
      <c r="J110" s="80">
        <v>0</v>
      </c>
      <c r="K110" s="59">
        <f t="shared" si="21"/>
        <v>0</v>
      </c>
      <c r="L110" s="59">
        <v>0</v>
      </c>
      <c r="M110" s="59">
        <v>0</v>
      </c>
      <c r="N110" s="59">
        <f t="shared" si="22"/>
        <v>0</v>
      </c>
      <c r="O110" s="15">
        <f t="shared" si="23"/>
        <v>0</v>
      </c>
      <c r="P110" s="87">
        <f t="shared" si="24"/>
        <v>18</v>
      </c>
      <c r="Q110" s="110">
        <v>0</v>
      </c>
      <c r="R110" s="59">
        <v>18</v>
      </c>
      <c r="S110" s="14">
        <v>0</v>
      </c>
      <c r="T110" s="59">
        <v>0</v>
      </c>
      <c r="U110" s="15">
        <f t="shared" si="25"/>
        <v>0</v>
      </c>
      <c r="V110" s="14">
        <v>0</v>
      </c>
      <c r="W110" s="15">
        <f t="shared" si="26"/>
        <v>0</v>
      </c>
      <c r="X110" s="14">
        <v>0</v>
      </c>
      <c r="Y110" s="75">
        <v>0</v>
      </c>
      <c r="Z110" s="87">
        <f t="shared" si="27"/>
        <v>0</v>
      </c>
      <c r="AA110" s="14">
        <f t="shared" si="28"/>
        <v>0</v>
      </c>
      <c r="AB110" s="75">
        <v>0</v>
      </c>
      <c r="AC110" s="75">
        <v>0</v>
      </c>
      <c r="AD110" s="59">
        <f t="shared" si="29"/>
        <v>0</v>
      </c>
      <c r="AE110" s="73">
        <v>0</v>
      </c>
      <c r="AF110" s="73">
        <v>0</v>
      </c>
      <c r="AG110" s="15">
        <f t="shared" si="30"/>
        <v>0</v>
      </c>
      <c r="AH110" s="16">
        <f t="shared" si="31"/>
        <v>0</v>
      </c>
      <c r="AI110" s="17">
        <f t="shared" si="32"/>
        <v>18</v>
      </c>
      <c r="AJ110" s="12">
        <f>VLOOKUP(A110,'PreK Proxy - Sept. 2024'!$A$2:$I$674,9,FALSE)</f>
        <v>38</v>
      </c>
      <c r="AK110" s="18">
        <f t="shared" si="33"/>
        <v>0.47368421052631576</v>
      </c>
    </row>
    <row r="111" spans="1:37" x14ac:dyDescent="0.35">
      <c r="A111" s="11" t="s">
        <v>233</v>
      </c>
      <c r="B111" s="12" t="s">
        <v>234</v>
      </c>
      <c r="C111" s="54" t="s">
        <v>1458</v>
      </c>
      <c r="D111" s="54" t="s">
        <v>68</v>
      </c>
      <c r="E111" s="66">
        <f t="shared" si="18"/>
        <v>7</v>
      </c>
      <c r="F111" s="13">
        <f t="shared" si="19"/>
        <v>7</v>
      </c>
      <c r="G111" s="67">
        <f t="shared" si="20"/>
        <v>0</v>
      </c>
      <c r="H111" s="64">
        <f t="shared" si="17"/>
        <v>7</v>
      </c>
      <c r="I111" s="80">
        <v>0</v>
      </c>
      <c r="J111" s="80">
        <v>0</v>
      </c>
      <c r="K111" s="59">
        <f t="shared" si="21"/>
        <v>0</v>
      </c>
      <c r="L111" s="59">
        <v>0</v>
      </c>
      <c r="M111" s="59">
        <v>7</v>
      </c>
      <c r="N111" s="59">
        <f t="shared" si="22"/>
        <v>7</v>
      </c>
      <c r="O111" s="15">
        <f t="shared" si="23"/>
        <v>0</v>
      </c>
      <c r="P111" s="87">
        <f t="shared" si="24"/>
        <v>0</v>
      </c>
      <c r="Q111" s="110">
        <v>0</v>
      </c>
      <c r="R111" s="59">
        <v>0</v>
      </c>
      <c r="S111" s="14">
        <v>0</v>
      </c>
      <c r="T111" s="59">
        <v>0</v>
      </c>
      <c r="U111" s="15">
        <f t="shared" si="25"/>
        <v>0</v>
      </c>
      <c r="V111" s="14">
        <v>0</v>
      </c>
      <c r="W111" s="15">
        <f t="shared" si="26"/>
        <v>0</v>
      </c>
      <c r="X111" s="14">
        <v>0</v>
      </c>
      <c r="Y111" s="75">
        <v>0</v>
      </c>
      <c r="Z111" s="87">
        <f t="shared" si="27"/>
        <v>0</v>
      </c>
      <c r="AA111" s="14">
        <f t="shared" si="28"/>
        <v>0</v>
      </c>
      <c r="AB111" s="75">
        <v>0</v>
      </c>
      <c r="AC111" s="75">
        <v>0</v>
      </c>
      <c r="AD111" s="59">
        <f t="shared" si="29"/>
        <v>0</v>
      </c>
      <c r="AE111" s="73">
        <v>0</v>
      </c>
      <c r="AF111" s="73">
        <v>0</v>
      </c>
      <c r="AG111" s="15">
        <f t="shared" si="30"/>
        <v>0</v>
      </c>
      <c r="AH111" s="16">
        <f t="shared" si="31"/>
        <v>0</v>
      </c>
      <c r="AI111" s="17">
        <f t="shared" si="32"/>
        <v>7</v>
      </c>
      <c r="AJ111" s="12">
        <f>VLOOKUP(A111,'PreK Proxy - Sept. 2024'!$A$2:$I$674,9,FALSE)</f>
        <v>11</v>
      </c>
      <c r="AK111" s="18">
        <f t="shared" si="33"/>
        <v>0.63636363636363635</v>
      </c>
    </row>
    <row r="112" spans="1:37" x14ac:dyDescent="0.35">
      <c r="A112" s="11" t="s">
        <v>235</v>
      </c>
      <c r="B112" s="12" t="s">
        <v>236</v>
      </c>
      <c r="C112" s="54" t="s">
        <v>1458</v>
      </c>
      <c r="D112" s="54" t="s">
        <v>68</v>
      </c>
      <c r="E112" s="66">
        <f t="shared" si="18"/>
        <v>0</v>
      </c>
      <c r="F112" s="13">
        <f t="shared" si="19"/>
        <v>0</v>
      </c>
      <c r="G112" s="67">
        <f t="shared" si="20"/>
        <v>0</v>
      </c>
      <c r="H112" s="64">
        <f t="shared" si="17"/>
        <v>0</v>
      </c>
      <c r="I112" s="80">
        <v>0</v>
      </c>
      <c r="J112" s="80">
        <v>0</v>
      </c>
      <c r="K112" s="59">
        <f t="shared" si="21"/>
        <v>0</v>
      </c>
      <c r="L112" s="59">
        <v>0</v>
      </c>
      <c r="M112" s="59">
        <v>0</v>
      </c>
      <c r="N112" s="59">
        <f t="shared" si="22"/>
        <v>0</v>
      </c>
      <c r="O112" s="15">
        <f t="shared" si="23"/>
        <v>0</v>
      </c>
      <c r="P112" s="87">
        <f t="shared" si="24"/>
        <v>0</v>
      </c>
      <c r="Q112" s="110">
        <v>0</v>
      </c>
      <c r="R112" s="59">
        <v>0</v>
      </c>
      <c r="S112" s="14">
        <v>0</v>
      </c>
      <c r="T112" s="59">
        <v>0</v>
      </c>
      <c r="U112" s="15">
        <f t="shared" si="25"/>
        <v>0</v>
      </c>
      <c r="V112" s="14">
        <v>0</v>
      </c>
      <c r="W112" s="15">
        <f t="shared" si="26"/>
        <v>0</v>
      </c>
      <c r="X112" s="14">
        <v>0</v>
      </c>
      <c r="Y112" s="75">
        <v>0</v>
      </c>
      <c r="Z112" s="87">
        <f t="shared" si="27"/>
        <v>0</v>
      </c>
      <c r="AA112" s="14">
        <f t="shared" si="28"/>
        <v>0</v>
      </c>
      <c r="AB112" s="75">
        <v>0</v>
      </c>
      <c r="AC112" s="75">
        <v>0</v>
      </c>
      <c r="AD112" s="59">
        <f t="shared" si="29"/>
        <v>0</v>
      </c>
      <c r="AE112" s="73">
        <v>0</v>
      </c>
      <c r="AF112" s="73">
        <v>0</v>
      </c>
      <c r="AG112" s="15">
        <f t="shared" si="30"/>
        <v>0</v>
      </c>
      <c r="AH112" s="16">
        <f t="shared" si="31"/>
        <v>0</v>
      </c>
      <c r="AI112" s="17">
        <f t="shared" si="32"/>
        <v>0</v>
      </c>
      <c r="AJ112" s="12">
        <f>VLOOKUP(A112,'PreK Proxy - Sept. 2024'!$A$2:$I$674,9,FALSE)</f>
        <v>18</v>
      </c>
      <c r="AK112" s="18">
        <f t="shared" si="33"/>
        <v>0</v>
      </c>
    </row>
    <row r="113" spans="1:37" x14ac:dyDescent="0.35">
      <c r="A113" s="11" t="s">
        <v>237</v>
      </c>
      <c r="B113" s="12" t="s">
        <v>238</v>
      </c>
      <c r="C113" s="54" t="s">
        <v>1458</v>
      </c>
      <c r="D113" s="54" t="s">
        <v>68</v>
      </c>
      <c r="E113" s="66">
        <f t="shared" si="18"/>
        <v>10</v>
      </c>
      <c r="F113" s="13">
        <f t="shared" si="19"/>
        <v>10</v>
      </c>
      <c r="G113" s="67">
        <f t="shared" si="20"/>
        <v>0</v>
      </c>
      <c r="H113" s="64">
        <f t="shared" si="17"/>
        <v>10</v>
      </c>
      <c r="I113" s="80">
        <v>0</v>
      </c>
      <c r="J113" s="80">
        <v>0</v>
      </c>
      <c r="K113" s="59">
        <f t="shared" si="21"/>
        <v>0</v>
      </c>
      <c r="L113" s="59">
        <v>0</v>
      </c>
      <c r="M113" s="59">
        <v>10</v>
      </c>
      <c r="N113" s="59">
        <f t="shared" si="22"/>
        <v>10</v>
      </c>
      <c r="O113" s="15">
        <f t="shared" si="23"/>
        <v>0</v>
      </c>
      <c r="P113" s="87">
        <f t="shared" si="24"/>
        <v>0</v>
      </c>
      <c r="Q113" s="110">
        <v>0</v>
      </c>
      <c r="R113" s="59">
        <v>0</v>
      </c>
      <c r="S113" s="14">
        <v>0</v>
      </c>
      <c r="T113" s="59">
        <v>0</v>
      </c>
      <c r="U113" s="15">
        <f t="shared" si="25"/>
        <v>0</v>
      </c>
      <c r="V113" s="14">
        <v>0</v>
      </c>
      <c r="W113" s="15">
        <f t="shared" si="26"/>
        <v>0</v>
      </c>
      <c r="X113" s="14">
        <v>0</v>
      </c>
      <c r="Y113" s="75">
        <v>0</v>
      </c>
      <c r="Z113" s="87">
        <f t="shared" si="27"/>
        <v>0</v>
      </c>
      <c r="AA113" s="14">
        <f t="shared" si="28"/>
        <v>0</v>
      </c>
      <c r="AB113" s="75">
        <v>0</v>
      </c>
      <c r="AC113" s="75">
        <v>0</v>
      </c>
      <c r="AD113" s="59">
        <f t="shared" si="29"/>
        <v>0</v>
      </c>
      <c r="AE113" s="73">
        <v>0</v>
      </c>
      <c r="AF113" s="73">
        <v>0</v>
      </c>
      <c r="AG113" s="15">
        <f t="shared" si="30"/>
        <v>0</v>
      </c>
      <c r="AH113" s="16">
        <f t="shared" si="31"/>
        <v>0</v>
      </c>
      <c r="AI113" s="17">
        <f t="shared" si="32"/>
        <v>10</v>
      </c>
      <c r="AJ113" s="12">
        <f>VLOOKUP(A113,'PreK Proxy - Sept. 2024'!$A$2:$I$674,9,FALSE)</f>
        <v>11</v>
      </c>
      <c r="AK113" s="18">
        <f t="shared" si="33"/>
        <v>0.90909090909090906</v>
      </c>
    </row>
    <row r="114" spans="1:37" x14ac:dyDescent="0.35">
      <c r="A114" s="11" t="s">
        <v>239</v>
      </c>
      <c r="B114" s="12" t="s">
        <v>240</v>
      </c>
      <c r="C114" s="54" t="s">
        <v>1458</v>
      </c>
      <c r="D114" s="54" t="s">
        <v>68</v>
      </c>
      <c r="E114" s="66">
        <f t="shared" si="18"/>
        <v>17</v>
      </c>
      <c r="F114" s="13">
        <f t="shared" si="19"/>
        <v>17</v>
      </c>
      <c r="G114" s="67">
        <f t="shared" si="20"/>
        <v>0</v>
      </c>
      <c r="H114" s="64">
        <f t="shared" si="17"/>
        <v>17</v>
      </c>
      <c r="I114" s="80">
        <v>0</v>
      </c>
      <c r="J114" s="80">
        <v>0</v>
      </c>
      <c r="K114" s="59">
        <f t="shared" si="21"/>
        <v>0</v>
      </c>
      <c r="L114" s="59">
        <v>0</v>
      </c>
      <c r="M114" s="59">
        <v>17</v>
      </c>
      <c r="N114" s="59">
        <f t="shared" si="22"/>
        <v>17</v>
      </c>
      <c r="O114" s="15">
        <f t="shared" si="23"/>
        <v>0</v>
      </c>
      <c r="P114" s="87">
        <f t="shared" si="24"/>
        <v>0</v>
      </c>
      <c r="Q114" s="110">
        <v>0</v>
      </c>
      <c r="R114" s="59">
        <v>0</v>
      </c>
      <c r="S114" s="14">
        <v>0</v>
      </c>
      <c r="T114" s="59">
        <v>0</v>
      </c>
      <c r="U114" s="15">
        <f t="shared" si="25"/>
        <v>0</v>
      </c>
      <c r="V114" s="14">
        <v>0</v>
      </c>
      <c r="W114" s="15">
        <f t="shared" si="26"/>
        <v>0</v>
      </c>
      <c r="X114" s="14">
        <v>0</v>
      </c>
      <c r="Y114" s="75">
        <v>0</v>
      </c>
      <c r="Z114" s="87">
        <f t="shared" si="27"/>
        <v>0</v>
      </c>
      <c r="AA114" s="14">
        <f t="shared" si="28"/>
        <v>0</v>
      </c>
      <c r="AB114" s="75">
        <v>0</v>
      </c>
      <c r="AC114" s="75">
        <v>0</v>
      </c>
      <c r="AD114" s="59">
        <f t="shared" si="29"/>
        <v>0</v>
      </c>
      <c r="AE114" s="73">
        <v>0</v>
      </c>
      <c r="AF114" s="73">
        <v>0</v>
      </c>
      <c r="AG114" s="15">
        <f t="shared" si="30"/>
        <v>0</v>
      </c>
      <c r="AH114" s="16">
        <f t="shared" si="31"/>
        <v>0</v>
      </c>
      <c r="AI114" s="17">
        <f t="shared" si="32"/>
        <v>17</v>
      </c>
      <c r="AJ114" s="12">
        <f>VLOOKUP(A114,'PreK Proxy - Sept. 2024'!$A$2:$I$674,9,FALSE)</f>
        <v>13</v>
      </c>
      <c r="AK114" s="18">
        <f t="shared" si="33"/>
        <v>1</v>
      </c>
    </row>
    <row r="115" spans="1:37" x14ac:dyDescent="0.35">
      <c r="A115" s="11" t="s">
        <v>241</v>
      </c>
      <c r="B115" s="12" t="s">
        <v>242</v>
      </c>
      <c r="C115" s="54" t="s">
        <v>1458</v>
      </c>
      <c r="D115" s="54" t="s">
        <v>68</v>
      </c>
      <c r="E115" s="66">
        <f t="shared" si="18"/>
        <v>36</v>
      </c>
      <c r="F115" s="13">
        <f t="shared" si="19"/>
        <v>33</v>
      </c>
      <c r="G115" s="67">
        <f t="shared" si="20"/>
        <v>3</v>
      </c>
      <c r="H115" s="64">
        <f t="shared" si="17"/>
        <v>36</v>
      </c>
      <c r="I115" s="80">
        <v>0</v>
      </c>
      <c r="J115" s="80">
        <v>3</v>
      </c>
      <c r="K115" s="59">
        <f t="shared" si="21"/>
        <v>3</v>
      </c>
      <c r="L115" s="59">
        <v>0</v>
      </c>
      <c r="M115" s="59">
        <v>33</v>
      </c>
      <c r="N115" s="59">
        <f t="shared" si="22"/>
        <v>33</v>
      </c>
      <c r="O115" s="15">
        <f t="shared" si="23"/>
        <v>0</v>
      </c>
      <c r="P115" s="87">
        <f t="shared" si="24"/>
        <v>0</v>
      </c>
      <c r="Q115" s="110">
        <v>0</v>
      </c>
      <c r="R115" s="59">
        <v>0</v>
      </c>
      <c r="S115" s="14">
        <v>0</v>
      </c>
      <c r="T115" s="59">
        <v>0</v>
      </c>
      <c r="U115" s="15">
        <f t="shared" si="25"/>
        <v>0</v>
      </c>
      <c r="V115" s="14">
        <v>0</v>
      </c>
      <c r="W115" s="15">
        <f t="shared" si="26"/>
        <v>0</v>
      </c>
      <c r="X115" s="14">
        <v>0</v>
      </c>
      <c r="Y115" s="75">
        <v>0</v>
      </c>
      <c r="Z115" s="87">
        <f t="shared" si="27"/>
        <v>0</v>
      </c>
      <c r="AA115" s="14">
        <f t="shared" si="28"/>
        <v>0</v>
      </c>
      <c r="AB115" s="75">
        <v>0</v>
      </c>
      <c r="AC115" s="75">
        <v>0</v>
      </c>
      <c r="AD115" s="59">
        <f t="shared" si="29"/>
        <v>0</v>
      </c>
      <c r="AE115" s="73">
        <v>0</v>
      </c>
      <c r="AF115" s="73">
        <v>0</v>
      </c>
      <c r="AG115" s="15">
        <f t="shared" si="30"/>
        <v>0</v>
      </c>
      <c r="AH115" s="16">
        <f t="shared" si="31"/>
        <v>3</v>
      </c>
      <c r="AI115" s="17">
        <f t="shared" si="32"/>
        <v>33</v>
      </c>
      <c r="AJ115" s="12">
        <f>VLOOKUP(A115,'PreK Proxy - Sept. 2024'!$A$2:$I$674,9,FALSE)</f>
        <v>42</v>
      </c>
      <c r="AK115" s="18">
        <f t="shared" si="33"/>
        <v>0.8571428571428571</v>
      </c>
    </row>
    <row r="116" spans="1:37" x14ac:dyDescent="0.35">
      <c r="A116" s="11" t="s">
        <v>243</v>
      </c>
      <c r="B116" s="12" t="s">
        <v>244</v>
      </c>
      <c r="C116" s="54" t="s">
        <v>1458</v>
      </c>
      <c r="D116" s="54" t="s">
        <v>68</v>
      </c>
      <c r="E116" s="66">
        <f t="shared" si="18"/>
        <v>6</v>
      </c>
      <c r="F116" s="13">
        <f t="shared" si="19"/>
        <v>0</v>
      </c>
      <c r="G116" s="67">
        <f t="shared" si="20"/>
        <v>6</v>
      </c>
      <c r="H116" s="64">
        <f t="shared" si="17"/>
        <v>6</v>
      </c>
      <c r="I116" s="80">
        <v>0</v>
      </c>
      <c r="J116" s="80">
        <v>6</v>
      </c>
      <c r="K116" s="59">
        <f t="shared" si="21"/>
        <v>6</v>
      </c>
      <c r="L116" s="59">
        <v>0</v>
      </c>
      <c r="M116" s="59">
        <v>0</v>
      </c>
      <c r="N116" s="59">
        <f t="shared" si="22"/>
        <v>0</v>
      </c>
      <c r="O116" s="15">
        <f t="shared" si="23"/>
        <v>0</v>
      </c>
      <c r="P116" s="87">
        <f t="shared" si="24"/>
        <v>0</v>
      </c>
      <c r="Q116" s="110">
        <v>0</v>
      </c>
      <c r="R116" s="59">
        <v>0</v>
      </c>
      <c r="S116" s="14">
        <v>0</v>
      </c>
      <c r="T116" s="59">
        <v>0</v>
      </c>
      <c r="U116" s="15">
        <f t="shared" si="25"/>
        <v>0</v>
      </c>
      <c r="V116" s="14">
        <v>0</v>
      </c>
      <c r="W116" s="15">
        <f t="shared" si="26"/>
        <v>0</v>
      </c>
      <c r="X116" s="14">
        <v>0</v>
      </c>
      <c r="Y116" s="75">
        <v>0</v>
      </c>
      <c r="Z116" s="87">
        <f t="shared" si="27"/>
        <v>0</v>
      </c>
      <c r="AA116" s="14">
        <f t="shared" si="28"/>
        <v>0</v>
      </c>
      <c r="AB116" s="75">
        <v>0</v>
      </c>
      <c r="AC116" s="75">
        <v>0</v>
      </c>
      <c r="AD116" s="59">
        <f t="shared" si="29"/>
        <v>0</v>
      </c>
      <c r="AE116" s="73">
        <v>0</v>
      </c>
      <c r="AF116" s="73">
        <v>0</v>
      </c>
      <c r="AG116" s="15">
        <f t="shared" si="30"/>
        <v>0</v>
      </c>
      <c r="AH116" s="16">
        <f t="shared" si="31"/>
        <v>6</v>
      </c>
      <c r="AI116" s="17">
        <f t="shared" si="32"/>
        <v>0</v>
      </c>
      <c r="AJ116" s="12">
        <f>VLOOKUP(A116,'PreK Proxy - Sept. 2024'!$A$2:$I$674,9,FALSE)</f>
        <v>12</v>
      </c>
      <c r="AK116" s="18">
        <f t="shared" si="33"/>
        <v>0.5</v>
      </c>
    </row>
    <row r="117" spans="1:37" x14ac:dyDescent="0.35">
      <c r="A117" s="11" t="s">
        <v>245</v>
      </c>
      <c r="B117" s="12" t="s">
        <v>246</v>
      </c>
      <c r="C117" s="54" t="s">
        <v>1458</v>
      </c>
      <c r="D117" s="54" t="s">
        <v>68</v>
      </c>
      <c r="E117" s="66">
        <f t="shared" si="18"/>
        <v>19</v>
      </c>
      <c r="F117" s="13">
        <f t="shared" si="19"/>
        <v>19</v>
      </c>
      <c r="G117" s="67">
        <f t="shared" si="20"/>
        <v>0</v>
      </c>
      <c r="H117" s="64">
        <f t="shared" si="17"/>
        <v>19</v>
      </c>
      <c r="I117" s="80">
        <v>0</v>
      </c>
      <c r="J117" s="80">
        <v>0</v>
      </c>
      <c r="K117" s="59">
        <f t="shared" si="21"/>
        <v>0</v>
      </c>
      <c r="L117" s="59">
        <v>0</v>
      </c>
      <c r="M117" s="59">
        <v>19</v>
      </c>
      <c r="N117" s="59">
        <f t="shared" si="22"/>
        <v>19</v>
      </c>
      <c r="O117" s="15">
        <f t="shared" si="23"/>
        <v>0</v>
      </c>
      <c r="P117" s="87">
        <f t="shared" si="24"/>
        <v>0</v>
      </c>
      <c r="Q117" s="110">
        <v>0</v>
      </c>
      <c r="R117" s="59">
        <v>0</v>
      </c>
      <c r="S117" s="14">
        <v>0</v>
      </c>
      <c r="T117" s="59">
        <v>0</v>
      </c>
      <c r="U117" s="15">
        <f t="shared" si="25"/>
        <v>0</v>
      </c>
      <c r="V117" s="14">
        <v>0</v>
      </c>
      <c r="W117" s="15">
        <f t="shared" si="26"/>
        <v>0</v>
      </c>
      <c r="X117" s="14">
        <v>0</v>
      </c>
      <c r="Y117" s="75">
        <v>0</v>
      </c>
      <c r="Z117" s="87">
        <f t="shared" si="27"/>
        <v>0</v>
      </c>
      <c r="AA117" s="14">
        <f t="shared" si="28"/>
        <v>0</v>
      </c>
      <c r="AB117" s="75">
        <v>0</v>
      </c>
      <c r="AC117" s="75">
        <v>0</v>
      </c>
      <c r="AD117" s="59">
        <f t="shared" si="29"/>
        <v>0</v>
      </c>
      <c r="AE117" s="73">
        <v>0</v>
      </c>
      <c r="AF117" s="73">
        <v>0</v>
      </c>
      <c r="AG117" s="15">
        <f t="shared" si="30"/>
        <v>0</v>
      </c>
      <c r="AH117" s="16">
        <f t="shared" si="31"/>
        <v>0</v>
      </c>
      <c r="AI117" s="17">
        <f t="shared" si="32"/>
        <v>19</v>
      </c>
      <c r="AJ117" s="12">
        <f>VLOOKUP(A117,'PreK Proxy - Sept. 2024'!$A$2:$I$674,9,FALSE)</f>
        <v>11</v>
      </c>
      <c r="AK117" s="18">
        <f t="shared" si="33"/>
        <v>1</v>
      </c>
    </row>
    <row r="118" spans="1:37" x14ac:dyDescent="0.35">
      <c r="A118" s="11" t="s">
        <v>247</v>
      </c>
      <c r="B118" s="12" t="s">
        <v>248</v>
      </c>
      <c r="C118" s="54" t="s">
        <v>1458</v>
      </c>
      <c r="D118" s="54" t="s">
        <v>68</v>
      </c>
      <c r="E118" s="66">
        <f t="shared" si="18"/>
        <v>51</v>
      </c>
      <c r="F118" s="13">
        <f t="shared" si="19"/>
        <v>51</v>
      </c>
      <c r="G118" s="67">
        <f t="shared" si="20"/>
        <v>0</v>
      </c>
      <c r="H118" s="64">
        <f t="shared" si="17"/>
        <v>51</v>
      </c>
      <c r="I118" s="80">
        <v>0</v>
      </c>
      <c r="J118" s="80">
        <v>0</v>
      </c>
      <c r="K118" s="59">
        <f t="shared" si="21"/>
        <v>0</v>
      </c>
      <c r="L118" s="59">
        <v>0</v>
      </c>
      <c r="M118" s="59">
        <v>51</v>
      </c>
      <c r="N118" s="59">
        <f t="shared" si="22"/>
        <v>51</v>
      </c>
      <c r="O118" s="15">
        <f t="shared" si="23"/>
        <v>0</v>
      </c>
      <c r="P118" s="87">
        <f t="shared" si="24"/>
        <v>0</v>
      </c>
      <c r="Q118" s="110">
        <v>0</v>
      </c>
      <c r="R118" s="59">
        <v>0</v>
      </c>
      <c r="S118" s="14">
        <v>0</v>
      </c>
      <c r="T118" s="59">
        <v>0</v>
      </c>
      <c r="U118" s="15">
        <f t="shared" si="25"/>
        <v>0</v>
      </c>
      <c r="V118" s="14">
        <v>0</v>
      </c>
      <c r="W118" s="15">
        <f t="shared" si="26"/>
        <v>0</v>
      </c>
      <c r="X118" s="14">
        <v>0</v>
      </c>
      <c r="Y118" s="75">
        <v>0</v>
      </c>
      <c r="Z118" s="87">
        <f t="shared" si="27"/>
        <v>0</v>
      </c>
      <c r="AA118" s="14">
        <f t="shared" si="28"/>
        <v>0</v>
      </c>
      <c r="AB118" s="75">
        <v>0</v>
      </c>
      <c r="AC118" s="75">
        <v>0</v>
      </c>
      <c r="AD118" s="59">
        <f t="shared" si="29"/>
        <v>0</v>
      </c>
      <c r="AE118" s="73">
        <v>0</v>
      </c>
      <c r="AF118" s="73">
        <v>0</v>
      </c>
      <c r="AG118" s="15">
        <f t="shared" si="30"/>
        <v>0</v>
      </c>
      <c r="AH118" s="16">
        <f t="shared" si="31"/>
        <v>0</v>
      </c>
      <c r="AI118" s="17">
        <f t="shared" si="32"/>
        <v>51</v>
      </c>
      <c r="AJ118" s="12">
        <f>VLOOKUP(A118,'PreK Proxy - Sept. 2024'!$A$2:$I$674,9,FALSE)</f>
        <v>44</v>
      </c>
      <c r="AK118" s="18">
        <f t="shared" si="33"/>
        <v>1</v>
      </c>
    </row>
    <row r="119" spans="1:37" x14ac:dyDescent="0.35">
      <c r="A119" s="11" t="s">
        <v>249</v>
      </c>
      <c r="B119" s="12" t="s">
        <v>250</v>
      </c>
      <c r="C119" s="54" t="s">
        <v>1456</v>
      </c>
      <c r="D119" s="54" t="s">
        <v>251</v>
      </c>
      <c r="E119" s="66">
        <f t="shared" si="18"/>
        <v>139</v>
      </c>
      <c r="F119" s="13">
        <f t="shared" si="19"/>
        <v>139</v>
      </c>
      <c r="G119" s="67">
        <f t="shared" si="20"/>
        <v>0</v>
      </c>
      <c r="H119" s="64">
        <f t="shared" si="17"/>
        <v>139</v>
      </c>
      <c r="I119" s="80">
        <v>0</v>
      </c>
      <c r="J119" s="80">
        <v>0</v>
      </c>
      <c r="K119" s="59">
        <f t="shared" si="21"/>
        <v>0</v>
      </c>
      <c r="L119" s="59">
        <v>0</v>
      </c>
      <c r="M119" s="59">
        <v>139</v>
      </c>
      <c r="N119" s="59">
        <f t="shared" si="22"/>
        <v>139</v>
      </c>
      <c r="O119" s="15">
        <f t="shared" si="23"/>
        <v>0</v>
      </c>
      <c r="P119" s="87">
        <f t="shared" si="24"/>
        <v>0</v>
      </c>
      <c r="Q119" s="110">
        <v>0</v>
      </c>
      <c r="R119" s="59">
        <v>0</v>
      </c>
      <c r="S119" s="14">
        <v>0</v>
      </c>
      <c r="T119" s="59">
        <v>0</v>
      </c>
      <c r="U119" s="15">
        <f t="shared" si="25"/>
        <v>0</v>
      </c>
      <c r="V119" s="14">
        <v>0</v>
      </c>
      <c r="W119" s="15">
        <f t="shared" si="26"/>
        <v>0</v>
      </c>
      <c r="X119" s="14">
        <v>0</v>
      </c>
      <c r="Y119" s="75">
        <v>0</v>
      </c>
      <c r="Z119" s="87">
        <f t="shared" si="27"/>
        <v>0</v>
      </c>
      <c r="AA119" s="14">
        <f t="shared" si="28"/>
        <v>0</v>
      </c>
      <c r="AB119" s="75">
        <v>0</v>
      </c>
      <c r="AC119" s="75">
        <v>0</v>
      </c>
      <c r="AD119" s="59">
        <f t="shared" si="29"/>
        <v>0</v>
      </c>
      <c r="AE119" s="73">
        <v>0</v>
      </c>
      <c r="AF119" s="73">
        <v>0</v>
      </c>
      <c r="AG119" s="15">
        <f t="shared" si="30"/>
        <v>0</v>
      </c>
      <c r="AH119" s="16">
        <f t="shared" si="31"/>
        <v>0</v>
      </c>
      <c r="AI119" s="17">
        <f t="shared" si="32"/>
        <v>139</v>
      </c>
      <c r="AJ119" s="12">
        <f>VLOOKUP(A119,'PreK Proxy - Sept. 2024'!$A$2:$I$674,9,FALSE)</f>
        <v>161</v>
      </c>
      <c r="AK119" s="18">
        <f t="shared" si="33"/>
        <v>0.86335403726708071</v>
      </c>
    </row>
    <row r="120" spans="1:37" x14ac:dyDescent="0.35">
      <c r="A120" s="11" t="s">
        <v>252</v>
      </c>
      <c r="B120" s="12" t="s">
        <v>253</v>
      </c>
      <c r="C120" s="54" t="s">
        <v>1456</v>
      </c>
      <c r="D120" s="54" t="s">
        <v>251</v>
      </c>
      <c r="E120" s="66">
        <f t="shared" si="18"/>
        <v>48</v>
      </c>
      <c r="F120" s="13">
        <f t="shared" si="19"/>
        <v>48</v>
      </c>
      <c r="G120" s="67">
        <f t="shared" si="20"/>
        <v>0</v>
      </c>
      <c r="H120" s="64">
        <f t="shared" si="17"/>
        <v>35</v>
      </c>
      <c r="I120" s="80">
        <v>0</v>
      </c>
      <c r="J120" s="80">
        <v>0</v>
      </c>
      <c r="K120" s="59">
        <f t="shared" si="21"/>
        <v>0</v>
      </c>
      <c r="L120" s="59">
        <v>0</v>
      </c>
      <c r="M120" s="59">
        <v>35</v>
      </c>
      <c r="N120" s="59">
        <f t="shared" si="22"/>
        <v>35</v>
      </c>
      <c r="O120" s="15">
        <f t="shared" si="23"/>
        <v>0</v>
      </c>
      <c r="P120" s="87">
        <f t="shared" si="24"/>
        <v>13</v>
      </c>
      <c r="Q120" s="110">
        <v>0</v>
      </c>
      <c r="R120" s="59">
        <v>13</v>
      </c>
      <c r="S120" s="14">
        <v>0</v>
      </c>
      <c r="T120" s="59">
        <v>0</v>
      </c>
      <c r="U120" s="15">
        <f t="shared" si="25"/>
        <v>0</v>
      </c>
      <c r="V120" s="14">
        <v>0</v>
      </c>
      <c r="W120" s="15">
        <f t="shared" si="26"/>
        <v>0</v>
      </c>
      <c r="X120" s="14">
        <v>0</v>
      </c>
      <c r="Y120" s="75">
        <v>0</v>
      </c>
      <c r="Z120" s="87">
        <f t="shared" si="27"/>
        <v>0</v>
      </c>
      <c r="AA120" s="14">
        <f t="shared" si="28"/>
        <v>0</v>
      </c>
      <c r="AB120" s="75">
        <v>0</v>
      </c>
      <c r="AC120" s="75">
        <v>0</v>
      </c>
      <c r="AD120" s="59">
        <f t="shared" si="29"/>
        <v>0</v>
      </c>
      <c r="AE120" s="73">
        <v>0</v>
      </c>
      <c r="AF120" s="73">
        <v>0</v>
      </c>
      <c r="AG120" s="15">
        <f t="shared" si="30"/>
        <v>0</v>
      </c>
      <c r="AH120" s="16">
        <f t="shared" si="31"/>
        <v>0</v>
      </c>
      <c r="AI120" s="17">
        <f t="shared" si="32"/>
        <v>48</v>
      </c>
      <c r="AJ120" s="12">
        <f>VLOOKUP(A120,'PreK Proxy - Sept. 2024'!$A$2:$I$674,9,FALSE)</f>
        <v>61</v>
      </c>
      <c r="AK120" s="18">
        <f t="shared" si="33"/>
        <v>0.78688524590163933</v>
      </c>
    </row>
    <row r="121" spans="1:37" x14ac:dyDescent="0.35">
      <c r="A121" s="11" t="s">
        <v>254</v>
      </c>
      <c r="B121" s="12" t="s">
        <v>255</v>
      </c>
      <c r="C121" s="54" t="s">
        <v>1456</v>
      </c>
      <c r="D121" s="54" t="s">
        <v>251</v>
      </c>
      <c r="E121" s="66">
        <f t="shared" si="18"/>
        <v>143</v>
      </c>
      <c r="F121" s="13">
        <f t="shared" si="19"/>
        <v>143</v>
      </c>
      <c r="G121" s="67">
        <f t="shared" si="20"/>
        <v>0</v>
      </c>
      <c r="H121" s="64">
        <f t="shared" si="17"/>
        <v>0</v>
      </c>
      <c r="I121" s="80">
        <v>0</v>
      </c>
      <c r="J121" s="80">
        <v>0</v>
      </c>
      <c r="K121" s="59">
        <f t="shared" si="21"/>
        <v>0</v>
      </c>
      <c r="L121" s="59">
        <v>0</v>
      </c>
      <c r="M121" s="59">
        <v>0</v>
      </c>
      <c r="N121" s="59">
        <f t="shared" si="22"/>
        <v>0</v>
      </c>
      <c r="O121" s="15">
        <f t="shared" si="23"/>
        <v>0</v>
      </c>
      <c r="P121" s="87">
        <f t="shared" si="24"/>
        <v>0</v>
      </c>
      <c r="Q121" s="110">
        <v>0</v>
      </c>
      <c r="R121" s="59">
        <v>0</v>
      </c>
      <c r="S121" s="14">
        <v>143</v>
      </c>
      <c r="T121" s="59">
        <v>0</v>
      </c>
      <c r="U121" s="15">
        <f t="shared" si="25"/>
        <v>143</v>
      </c>
      <c r="V121" s="14">
        <v>0</v>
      </c>
      <c r="W121" s="15">
        <f t="shared" si="26"/>
        <v>0</v>
      </c>
      <c r="X121" s="14">
        <v>0</v>
      </c>
      <c r="Y121" s="75">
        <v>0</v>
      </c>
      <c r="Z121" s="87">
        <f t="shared" si="27"/>
        <v>0</v>
      </c>
      <c r="AA121" s="14">
        <f t="shared" si="28"/>
        <v>0</v>
      </c>
      <c r="AB121" s="75">
        <v>0</v>
      </c>
      <c r="AC121" s="75">
        <v>0</v>
      </c>
      <c r="AD121" s="59">
        <f t="shared" si="29"/>
        <v>0</v>
      </c>
      <c r="AE121" s="73">
        <v>0</v>
      </c>
      <c r="AF121" s="73">
        <v>0</v>
      </c>
      <c r="AG121" s="15">
        <f t="shared" si="30"/>
        <v>0</v>
      </c>
      <c r="AH121" s="16">
        <f t="shared" si="31"/>
        <v>0</v>
      </c>
      <c r="AI121" s="17">
        <f t="shared" si="32"/>
        <v>143</v>
      </c>
      <c r="AJ121" s="12">
        <f>VLOOKUP(A121,'PreK Proxy - Sept. 2024'!$A$2:$I$674,9,FALSE)</f>
        <v>173</v>
      </c>
      <c r="AK121" s="18">
        <f t="shared" si="33"/>
        <v>0.82658959537572252</v>
      </c>
    </row>
    <row r="122" spans="1:37" x14ac:dyDescent="0.35">
      <c r="A122" s="11" t="s">
        <v>256</v>
      </c>
      <c r="B122" s="12" t="s">
        <v>257</v>
      </c>
      <c r="C122" s="54" t="s">
        <v>1456</v>
      </c>
      <c r="D122" s="54" t="s">
        <v>251</v>
      </c>
      <c r="E122" s="66">
        <f t="shared" si="18"/>
        <v>23</v>
      </c>
      <c r="F122" s="13">
        <f t="shared" si="19"/>
        <v>23</v>
      </c>
      <c r="G122" s="67">
        <f t="shared" si="20"/>
        <v>0</v>
      </c>
      <c r="H122" s="64">
        <f t="shared" si="17"/>
        <v>23</v>
      </c>
      <c r="I122" s="80">
        <v>0</v>
      </c>
      <c r="J122" s="80">
        <v>0</v>
      </c>
      <c r="K122" s="59">
        <f t="shared" si="21"/>
        <v>0</v>
      </c>
      <c r="L122" s="59">
        <v>0</v>
      </c>
      <c r="M122" s="59">
        <v>23</v>
      </c>
      <c r="N122" s="59">
        <f t="shared" si="22"/>
        <v>23</v>
      </c>
      <c r="O122" s="15">
        <f t="shared" si="23"/>
        <v>0</v>
      </c>
      <c r="P122" s="87">
        <f t="shared" si="24"/>
        <v>0</v>
      </c>
      <c r="Q122" s="110">
        <v>0</v>
      </c>
      <c r="R122" s="59">
        <v>0</v>
      </c>
      <c r="S122" s="14">
        <v>0</v>
      </c>
      <c r="T122" s="59">
        <v>0</v>
      </c>
      <c r="U122" s="15">
        <f t="shared" si="25"/>
        <v>0</v>
      </c>
      <c r="V122" s="14">
        <v>0</v>
      </c>
      <c r="W122" s="15">
        <f t="shared" si="26"/>
        <v>0</v>
      </c>
      <c r="X122" s="14">
        <v>0</v>
      </c>
      <c r="Y122" s="75">
        <v>0</v>
      </c>
      <c r="Z122" s="87">
        <f t="shared" si="27"/>
        <v>0</v>
      </c>
      <c r="AA122" s="14">
        <f t="shared" si="28"/>
        <v>0</v>
      </c>
      <c r="AB122" s="75">
        <v>0</v>
      </c>
      <c r="AC122" s="75">
        <v>0</v>
      </c>
      <c r="AD122" s="59">
        <f t="shared" si="29"/>
        <v>0</v>
      </c>
      <c r="AE122" s="73">
        <v>0</v>
      </c>
      <c r="AF122" s="73">
        <v>0</v>
      </c>
      <c r="AG122" s="15">
        <f t="shared" si="30"/>
        <v>0</v>
      </c>
      <c r="AH122" s="16">
        <f t="shared" si="31"/>
        <v>0</v>
      </c>
      <c r="AI122" s="17">
        <f t="shared" si="32"/>
        <v>23</v>
      </c>
      <c r="AJ122" s="12">
        <f>VLOOKUP(A122,'PreK Proxy - Sept. 2024'!$A$2:$I$674,9,FALSE)</f>
        <v>35</v>
      </c>
      <c r="AK122" s="18">
        <f t="shared" si="33"/>
        <v>0.65714285714285714</v>
      </c>
    </row>
    <row r="123" spans="1:37" x14ac:dyDescent="0.35">
      <c r="A123" s="11" t="s">
        <v>258</v>
      </c>
      <c r="B123" s="12" t="s">
        <v>259</v>
      </c>
      <c r="C123" s="54" t="s">
        <v>1456</v>
      </c>
      <c r="D123" s="54" t="s">
        <v>251</v>
      </c>
      <c r="E123" s="66">
        <f t="shared" si="18"/>
        <v>36</v>
      </c>
      <c r="F123" s="13">
        <f t="shared" si="19"/>
        <v>36</v>
      </c>
      <c r="G123" s="67">
        <f t="shared" si="20"/>
        <v>0</v>
      </c>
      <c r="H123" s="64">
        <f t="shared" si="17"/>
        <v>12</v>
      </c>
      <c r="I123" s="80">
        <v>0</v>
      </c>
      <c r="J123" s="80">
        <v>0</v>
      </c>
      <c r="K123" s="59">
        <f t="shared" si="21"/>
        <v>0</v>
      </c>
      <c r="L123" s="59">
        <v>0</v>
      </c>
      <c r="M123" s="59">
        <v>12</v>
      </c>
      <c r="N123" s="59">
        <f t="shared" si="22"/>
        <v>12</v>
      </c>
      <c r="O123" s="15">
        <f t="shared" si="23"/>
        <v>0</v>
      </c>
      <c r="P123" s="87">
        <f t="shared" si="24"/>
        <v>24</v>
      </c>
      <c r="Q123" s="110">
        <v>0</v>
      </c>
      <c r="R123" s="59">
        <v>24</v>
      </c>
      <c r="S123" s="14">
        <v>0</v>
      </c>
      <c r="T123" s="59">
        <v>0</v>
      </c>
      <c r="U123" s="15">
        <f t="shared" si="25"/>
        <v>0</v>
      </c>
      <c r="V123" s="14">
        <v>0</v>
      </c>
      <c r="W123" s="15">
        <f t="shared" si="26"/>
        <v>0</v>
      </c>
      <c r="X123" s="14">
        <v>0</v>
      </c>
      <c r="Y123" s="75">
        <v>0</v>
      </c>
      <c r="Z123" s="87">
        <f t="shared" si="27"/>
        <v>0</v>
      </c>
      <c r="AA123" s="14">
        <f t="shared" si="28"/>
        <v>0</v>
      </c>
      <c r="AB123" s="75">
        <v>0</v>
      </c>
      <c r="AC123" s="75">
        <v>0</v>
      </c>
      <c r="AD123" s="59">
        <f t="shared" si="29"/>
        <v>0</v>
      </c>
      <c r="AE123" s="73">
        <v>0</v>
      </c>
      <c r="AF123" s="73">
        <v>0</v>
      </c>
      <c r="AG123" s="15">
        <f t="shared" si="30"/>
        <v>0</v>
      </c>
      <c r="AH123" s="16">
        <f t="shared" si="31"/>
        <v>0</v>
      </c>
      <c r="AI123" s="17">
        <f t="shared" si="32"/>
        <v>36</v>
      </c>
      <c r="AJ123" s="12">
        <f>VLOOKUP(A123,'PreK Proxy - Sept. 2024'!$A$2:$I$674,9,FALSE)</f>
        <v>47</v>
      </c>
      <c r="AK123" s="18">
        <f t="shared" si="33"/>
        <v>0.76595744680851063</v>
      </c>
    </row>
    <row r="124" spans="1:37" x14ac:dyDescent="0.35">
      <c r="A124" s="11" t="s">
        <v>260</v>
      </c>
      <c r="B124" s="12" t="s">
        <v>261</v>
      </c>
      <c r="C124" s="54" t="s">
        <v>1456</v>
      </c>
      <c r="D124" s="54" t="s">
        <v>251</v>
      </c>
      <c r="E124" s="66">
        <f t="shared" si="18"/>
        <v>51</v>
      </c>
      <c r="F124" s="13">
        <f t="shared" si="19"/>
        <v>51</v>
      </c>
      <c r="G124" s="67">
        <f t="shared" si="20"/>
        <v>0</v>
      </c>
      <c r="H124" s="64">
        <f t="shared" si="17"/>
        <v>31</v>
      </c>
      <c r="I124" s="80">
        <v>0</v>
      </c>
      <c r="J124" s="80">
        <v>0</v>
      </c>
      <c r="K124" s="59">
        <f t="shared" si="21"/>
        <v>0</v>
      </c>
      <c r="L124" s="59">
        <v>0</v>
      </c>
      <c r="M124" s="59">
        <v>31</v>
      </c>
      <c r="N124" s="59">
        <f t="shared" si="22"/>
        <v>31</v>
      </c>
      <c r="O124" s="15">
        <f t="shared" si="23"/>
        <v>0</v>
      </c>
      <c r="P124" s="87">
        <f t="shared" si="24"/>
        <v>20</v>
      </c>
      <c r="Q124" s="110">
        <v>0</v>
      </c>
      <c r="R124" s="59">
        <v>20</v>
      </c>
      <c r="S124" s="14">
        <v>0</v>
      </c>
      <c r="T124" s="59">
        <v>0</v>
      </c>
      <c r="U124" s="15">
        <f t="shared" si="25"/>
        <v>0</v>
      </c>
      <c r="V124" s="14">
        <v>0</v>
      </c>
      <c r="W124" s="15">
        <f t="shared" si="26"/>
        <v>0</v>
      </c>
      <c r="X124" s="14">
        <v>0</v>
      </c>
      <c r="Y124" s="75">
        <v>0</v>
      </c>
      <c r="Z124" s="87">
        <f t="shared" si="27"/>
        <v>0</v>
      </c>
      <c r="AA124" s="14">
        <f t="shared" si="28"/>
        <v>0</v>
      </c>
      <c r="AB124" s="75">
        <v>0</v>
      </c>
      <c r="AC124" s="75">
        <v>0</v>
      </c>
      <c r="AD124" s="59">
        <f t="shared" si="29"/>
        <v>0</v>
      </c>
      <c r="AE124" s="73">
        <v>0</v>
      </c>
      <c r="AF124" s="73">
        <v>0</v>
      </c>
      <c r="AG124" s="15">
        <f t="shared" si="30"/>
        <v>0</v>
      </c>
      <c r="AH124" s="16">
        <f t="shared" si="31"/>
        <v>0</v>
      </c>
      <c r="AI124" s="17">
        <f t="shared" si="32"/>
        <v>51</v>
      </c>
      <c r="AJ124" s="12">
        <f>VLOOKUP(A124,'PreK Proxy - Sept. 2024'!$A$2:$I$674,9,FALSE)</f>
        <v>42</v>
      </c>
      <c r="AK124" s="18">
        <f t="shared" si="33"/>
        <v>1</v>
      </c>
    </row>
    <row r="125" spans="1:37" x14ac:dyDescent="0.35">
      <c r="A125" s="11" t="s">
        <v>262</v>
      </c>
      <c r="B125" s="12" t="s">
        <v>263</v>
      </c>
      <c r="C125" s="54" t="s">
        <v>1456</v>
      </c>
      <c r="D125" s="54" t="s">
        <v>251</v>
      </c>
      <c r="E125" s="66">
        <f t="shared" si="18"/>
        <v>176</v>
      </c>
      <c r="F125" s="13">
        <f t="shared" si="19"/>
        <v>174</v>
      </c>
      <c r="G125" s="67">
        <f t="shared" si="20"/>
        <v>2</v>
      </c>
      <c r="H125" s="64">
        <f t="shared" si="17"/>
        <v>68</v>
      </c>
      <c r="I125" s="80">
        <v>0</v>
      </c>
      <c r="J125" s="80">
        <v>1</v>
      </c>
      <c r="K125" s="59">
        <f t="shared" si="21"/>
        <v>1</v>
      </c>
      <c r="L125" s="59">
        <v>0</v>
      </c>
      <c r="M125" s="59">
        <v>67</v>
      </c>
      <c r="N125" s="59">
        <f t="shared" si="22"/>
        <v>67</v>
      </c>
      <c r="O125" s="15">
        <f t="shared" si="23"/>
        <v>0</v>
      </c>
      <c r="P125" s="87">
        <f t="shared" si="24"/>
        <v>103</v>
      </c>
      <c r="Q125" s="110">
        <v>1</v>
      </c>
      <c r="R125" s="59">
        <v>102</v>
      </c>
      <c r="S125" s="14">
        <v>0</v>
      </c>
      <c r="T125" s="59">
        <v>0</v>
      </c>
      <c r="U125" s="15">
        <f t="shared" si="25"/>
        <v>0</v>
      </c>
      <c r="V125" s="14">
        <v>0</v>
      </c>
      <c r="W125" s="15">
        <f t="shared" si="26"/>
        <v>0</v>
      </c>
      <c r="X125" s="14">
        <v>5</v>
      </c>
      <c r="Y125" s="75">
        <v>0</v>
      </c>
      <c r="Z125" s="87">
        <f t="shared" si="27"/>
        <v>5</v>
      </c>
      <c r="AA125" s="14">
        <f t="shared" si="28"/>
        <v>0</v>
      </c>
      <c r="AB125" s="75">
        <v>0</v>
      </c>
      <c r="AC125" s="75">
        <v>0</v>
      </c>
      <c r="AD125" s="59">
        <f t="shared" si="29"/>
        <v>0</v>
      </c>
      <c r="AE125" s="73">
        <v>0</v>
      </c>
      <c r="AF125" s="73">
        <v>0</v>
      </c>
      <c r="AG125" s="15">
        <f t="shared" si="30"/>
        <v>0</v>
      </c>
      <c r="AH125" s="16">
        <f t="shared" si="31"/>
        <v>2</v>
      </c>
      <c r="AI125" s="17">
        <f t="shared" si="32"/>
        <v>174</v>
      </c>
      <c r="AJ125" s="12">
        <f>VLOOKUP(A125,'PreK Proxy - Sept. 2024'!$A$2:$I$674,9,FALSE)</f>
        <v>249</v>
      </c>
      <c r="AK125" s="18">
        <f t="shared" si="33"/>
        <v>0.70682730923694781</v>
      </c>
    </row>
    <row r="126" spans="1:37" x14ac:dyDescent="0.35">
      <c r="A126" s="11" t="s">
        <v>264</v>
      </c>
      <c r="B126" s="12" t="s">
        <v>265</v>
      </c>
      <c r="C126" s="54" t="s">
        <v>1456</v>
      </c>
      <c r="D126" s="54" t="s">
        <v>251</v>
      </c>
      <c r="E126" s="66">
        <f t="shared" si="18"/>
        <v>180</v>
      </c>
      <c r="F126" s="13">
        <f t="shared" si="19"/>
        <v>180</v>
      </c>
      <c r="G126" s="67">
        <f t="shared" si="20"/>
        <v>0</v>
      </c>
      <c r="H126" s="64">
        <f t="shared" si="17"/>
        <v>0</v>
      </c>
      <c r="I126" s="80">
        <v>0</v>
      </c>
      <c r="J126" s="80">
        <v>0</v>
      </c>
      <c r="K126" s="59">
        <f t="shared" si="21"/>
        <v>0</v>
      </c>
      <c r="L126" s="59">
        <v>0</v>
      </c>
      <c r="M126" s="59">
        <v>0</v>
      </c>
      <c r="N126" s="59">
        <f t="shared" si="22"/>
        <v>0</v>
      </c>
      <c r="O126" s="15">
        <f t="shared" si="23"/>
        <v>0</v>
      </c>
      <c r="P126" s="87">
        <f t="shared" si="24"/>
        <v>180</v>
      </c>
      <c r="Q126" s="110">
        <v>0</v>
      </c>
      <c r="R126" s="59">
        <v>180</v>
      </c>
      <c r="S126" s="14">
        <v>0</v>
      </c>
      <c r="T126" s="59">
        <v>0</v>
      </c>
      <c r="U126" s="15">
        <f t="shared" si="25"/>
        <v>0</v>
      </c>
      <c r="V126" s="14">
        <v>0</v>
      </c>
      <c r="W126" s="15">
        <f t="shared" si="26"/>
        <v>0</v>
      </c>
      <c r="X126" s="14">
        <v>0</v>
      </c>
      <c r="Y126" s="75">
        <v>0</v>
      </c>
      <c r="Z126" s="87">
        <f t="shared" si="27"/>
        <v>0</v>
      </c>
      <c r="AA126" s="14">
        <f t="shared" si="28"/>
        <v>0</v>
      </c>
      <c r="AB126" s="75">
        <v>0</v>
      </c>
      <c r="AC126" s="75">
        <v>0</v>
      </c>
      <c r="AD126" s="59">
        <f t="shared" si="29"/>
        <v>0</v>
      </c>
      <c r="AE126" s="73">
        <v>0</v>
      </c>
      <c r="AF126" s="73">
        <v>0</v>
      </c>
      <c r="AG126" s="15">
        <f t="shared" si="30"/>
        <v>0</v>
      </c>
      <c r="AH126" s="16">
        <f t="shared" si="31"/>
        <v>0</v>
      </c>
      <c r="AI126" s="17">
        <f t="shared" si="32"/>
        <v>180</v>
      </c>
      <c r="AJ126" s="12">
        <f>VLOOKUP(A126,'PreK Proxy - Sept. 2024'!$A$2:$I$674,9,FALSE)</f>
        <v>487</v>
      </c>
      <c r="AK126" s="18">
        <f t="shared" si="33"/>
        <v>0.36960985626283366</v>
      </c>
    </row>
    <row r="127" spans="1:37" x14ac:dyDescent="0.35">
      <c r="A127" s="11" t="s">
        <v>266</v>
      </c>
      <c r="B127" s="12" t="s">
        <v>267</v>
      </c>
      <c r="C127" s="54" t="s">
        <v>1456</v>
      </c>
      <c r="D127" s="54" t="s">
        <v>251</v>
      </c>
      <c r="E127" s="66">
        <f t="shared" si="18"/>
        <v>48</v>
      </c>
      <c r="F127" s="13">
        <f t="shared" si="19"/>
        <v>48</v>
      </c>
      <c r="G127" s="67">
        <f t="shared" si="20"/>
        <v>0</v>
      </c>
      <c r="H127" s="64">
        <f t="shared" si="17"/>
        <v>18</v>
      </c>
      <c r="I127" s="80">
        <v>0</v>
      </c>
      <c r="J127" s="80">
        <v>0</v>
      </c>
      <c r="K127" s="59">
        <f t="shared" si="21"/>
        <v>0</v>
      </c>
      <c r="L127" s="59">
        <v>0</v>
      </c>
      <c r="M127" s="59">
        <v>18</v>
      </c>
      <c r="N127" s="59">
        <f t="shared" si="22"/>
        <v>18</v>
      </c>
      <c r="O127" s="15">
        <f t="shared" si="23"/>
        <v>0</v>
      </c>
      <c r="P127" s="87">
        <f t="shared" si="24"/>
        <v>30</v>
      </c>
      <c r="Q127" s="110">
        <v>0</v>
      </c>
      <c r="R127" s="59">
        <v>30</v>
      </c>
      <c r="S127" s="14">
        <v>0</v>
      </c>
      <c r="T127" s="59">
        <v>0</v>
      </c>
      <c r="U127" s="15">
        <f t="shared" si="25"/>
        <v>0</v>
      </c>
      <c r="V127" s="14">
        <v>0</v>
      </c>
      <c r="W127" s="15">
        <f t="shared" si="26"/>
        <v>0</v>
      </c>
      <c r="X127" s="14">
        <v>0</v>
      </c>
      <c r="Y127" s="75">
        <v>0</v>
      </c>
      <c r="Z127" s="87">
        <f t="shared" si="27"/>
        <v>0</v>
      </c>
      <c r="AA127" s="14">
        <f t="shared" si="28"/>
        <v>0</v>
      </c>
      <c r="AB127" s="75">
        <v>0</v>
      </c>
      <c r="AC127" s="75">
        <v>0</v>
      </c>
      <c r="AD127" s="59">
        <f t="shared" si="29"/>
        <v>0</v>
      </c>
      <c r="AE127" s="73">
        <v>0</v>
      </c>
      <c r="AF127" s="73">
        <v>0</v>
      </c>
      <c r="AG127" s="15">
        <f t="shared" si="30"/>
        <v>0</v>
      </c>
      <c r="AH127" s="16">
        <f t="shared" si="31"/>
        <v>0</v>
      </c>
      <c r="AI127" s="17">
        <f t="shared" si="32"/>
        <v>48</v>
      </c>
      <c r="AJ127" s="12">
        <f>VLOOKUP(A127,'PreK Proxy - Sept. 2024'!$A$2:$I$674,9,FALSE)</f>
        <v>87</v>
      </c>
      <c r="AK127" s="18">
        <f t="shared" si="33"/>
        <v>0.55172413793103448</v>
      </c>
    </row>
    <row r="128" spans="1:37" x14ac:dyDescent="0.35">
      <c r="A128" s="11" t="s">
        <v>268</v>
      </c>
      <c r="B128" s="12" t="s">
        <v>269</v>
      </c>
      <c r="C128" s="54" t="s">
        <v>1456</v>
      </c>
      <c r="D128" s="54" t="s">
        <v>251</v>
      </c>
      <c r="E128" s="66">
        <f t="shared" si="18"/>
        <v>30</v>
      </c>
      <c r="F128" s="13">
        <f t="shared" si="19"/>
        <v>30</v>
      </c>
      <c r="G128" s="67">
        <f t="shared" si="20"/>
        <v>0</v>
      </c>
      <c r="H128" s="64">
        <f t="shared" si="17"/>
        <v>7</v>
      </c>
      <c r="I128" s="80">
        <v>0</v>
      </c>
      <c r="J128" s="80">
        <v>0</v>
      </c>
      <c r="K128" s="59">
        <f t="shared" si="21"/>
        <v>0</v>
      </c>
      <c r="L128" s="59">
        <v>0</v>
      </c>
      <c r="M128" s="59">
        <v>7</v>
      </c>
      <c r="N128" s="59">
        <f t="shared" si="22"/>
        <v>7</v>
      </c>
      <c r="O128" s="15">
        <f t="shared" si="23"/>
        <v>0</v>
      </c>
      <c r="P128" s="87">
        <f t="shared" si="24"/>
        <v>23</v>
      </c>
      <c r="Q128" s="110">
        <v>0</v>
      </c>
      <c r="R128" s="59">
        <v>23</v>
      </c>
      <c r="S128" s="14">
        <v>0</v>
      </c>
      <c r="T128" s="59">
        <v>0</v>
      </c>
      <c r="U128" s="15">
        <f t="shared" si="25"/>
        <v>0</v>
      </c>
      <c r="V128" s="14">
        <v>0</v>
      </c>
      <c r="W128" s="15">
        <f t="shared" si="26"/>
        <v>0</v>
      </c>
      <c r="X128" s="14">
        <v>0</v>
      </c>
      <c r="Y128" s="75">
        <v>0</v>
      </c>
      <c r="Z128" s="87">
        <f t="shared" si="27"/>
        <v>0</v>
      </c>
      <c r="AA128" s="14">
        <f t="shared" si="28"/>
        <v>0</v>
      </c>
      <c r="AB128" s="75">
        <v>0</v>
      </c>
      <c r="AC128" s="75">
        <v>0</v>
      </c>
      <c r="AD128" s="59">
        <f t="shared" si="29"/>
        <v>0</v>
      </c>
      <c r="AE128" s="73">
        <v>0</v>
      </c>
      <c r="AF128" s="73">
        <v>0</v>
      </c>
      <c r="AG128" s="15">
        <f t="shared" si="30"/>
        <v>0</v>
      </c>
      <c r="AH128" s="16">
        <f t="shared" si="31"/>
        <v>0</v>
      </c>
      <c r="AI128" s="17">
        <f t="shared" si="32"/>
        <v>30</v>
      </c>
      <c r="AJ128" s="12">
        <f>VLOOKUP(A128,'PreK Proxy - Sept. 2024'!$A$2:$I$674,9,FALSE)</f>
        <v>72</v>
      </c>
      <c r="AK128" s="18">
        <f t="shared" si="33"/>
        <v>0.41666666666666669</v>
      </c>
    </row>
    <row r="129" spans="1:37" x14ac:dyDescent="0.35">
      <c r="A129" s="11" t="s">
        <v>270</v>
      </c>
      <c r="B129" s="12" t="s">
        <v>271</v>
      </c>
      <c r="C129" s="54" t="s">
        <v>1456</v>
      </c>
      <c r="D129" s="54" t="s">
        <v>251</v>
      </c>
      <c r="E129" s="66">
        <f t="shared" si="18"/>
        <v>0</v>
      </c>
      <c r="F129" s="13">
        <f t="shared" si="19"/>
        <v>0</v>
      </c>
      <c r="G129" s="67">
        <f t="shared" si="20"/>
        <v>0</v>
      </c>
      <c r="H129" s="64">
        <f t="shared" si="17"/>
        <v>0</v>
      </c>
      <c r="I129" s="80">
        <v>0</v>
      </c>
      <c r="J129" s="80">
        <v>0</v>
      </c>
      <c r="K129" s="59">
        <f t="shared" si="21"/>
        <v>0</v>
      </c>
      <c r="L129" s="59">
        <v>0</v>
      </c>
      <c r="M129" s="59">
        <v>0</v>
      </c>
      <c r="N129" s="59">
        <f t="shared" si="22"/>
        <v>0</v>
      </c>
      <c r="O129" s="15">
        <f t="shared" si="23"/>
        <v>0</v>
      </c>
      <c r="P129" s="87">
        <f t="shared" si="24"/>
        <v>0</v>
      </c>
      <c r="Q129" s="110">
        <v>0</v>
      </c>
      <c r="R129" s="59">
        <v>0</v>
      </c>
      <c r="S129" s="14">
        <v>0</v>
      </c>
      <c r="T129" s="59">
        <v>0</v>
      </c>
      <c r="U129" s="15">
        <f t="shared" si="25"/>
        <v>0</v>
      </c>
      <c r="V129" s="14">
        <v>0</v>
      </c>
      <c r="W129" s="15">
        <f t="shared" si="26"/>
        <v>0</v>
      </c>
      <c r="X129" s="14">
        <v>0</v>
      </c>
      <c r="Y129" s="75">
        <v>0</v>
      </c>
      <c r="Z129" s="87">
        <f t="shared" si="27"/>
        <v>0</v>
      </c>
      <c r="AA129" s="14">
        <f t="shared" si="28"/>
        <v>0</v>
      </c>
      <c r="AB129" s="75">
        <v>0</v>
      </c>
      <c r="AC129" s="75">
        <v>0</v>
      </c>
      <c r="AD129" s="59">
        <f t="shared" si="29"/>
        <v>0</v>
      </c>
      <c r="AE129" s="73">
        <v>0</v>
      </c>
      <c r="AF129" s="73">
        <v>0</v>
      </c>
      <c r="AG129" s="15">
        <f t="shared" si="30"/>
        <v>0</v>
      </c>
      <c r="AH129" s="16">
        <f t="shared" si="31"/>
        <v>0</v>
      </c>
      <c r="AI129" s="17">
        <f t="shared" si="32"/>
        <v>0</v>
      </c>
      <c r="AJ129" s="12">
        <f>VLOOKUP(A129,'PreK Proxy - Sept. 2024'!$A$2:$I$674,9,FALSE)</f>
        <v>56</v>
      </c>
      <c r="AK129" s="18">
        <f t="shared" si="33"/>
        <v>0</v>
      </c>
    </row>
    <row r="130" spans="1:37" x14ac:dyDescent="0.35">
      <c r="A130" s="11" t="s">
        <v>272</v>
      </c>
      <c r="B130" s="12" t="s">
        <v>273</v>
      </c>
      <c r="C130" s="54" t="s">
        <v>1456</v>
      </c>
      <c r="D130" s="54" t="s">
        <v>251</v>
      </c>
      <c r="E130" s="66">
        <f t="shared" si="18"/>
        <v>352</v>
      </c>
      <c r="F130" s="13">
        <f t="shared" si="19"/>
        <v>352</v>
      </c>
      <c r="G130" s="67">
        <f t="shared" si="20"/>
        <v>0</v>
      </c>
      <c r="H130" s="64">
        <f t="shared" si="17"/>
        <v>50</v>
      </c>
      <c r="I130" s="80">
        <v>0</v>
      </c>
      <c r="J130" s="80">
        <v>0</v>
      </c>
      <c r="K130" s="59">
        <f t="shared" si="21"/>
        <v>0</v>
      </c>
      <c r="L130" s="59">
        <v>0</v>
      </c>
      <c r="M130" s="59">
        <v>50</v>
      </c>
      <c r="N130" s="59">
        <f t="shared" si="22"/>
        <v>50</v>
      </c>
      <c r="O130" s="15">
        <f t="shared" si="23"/>
        <v>0</v>
      </c>
      <c r="P130" s="87">
        <f t="shared" si="24"/>
        <v>227</v>
      </c>
      <c r="Q130" s="110">
        <v>0</v>
      </c>
      <c r="R130" s="59">
        <v>227</v>
      </c>
      <c r="S130" s="14">
        <v>0</v>
      </c>
      <c r="T130" s="59">
        <v>0</v>
      </c>
      <c r="U130" s="15">
        <f t="shared" si="25"/>
        <v>0</v>
      </c>
      <c r="V130" s="14">
        <v>0</v>
      </c>
      <c r="W130" s="15">
        <f t="shared" si="26"/>
        <v>0</v>
      </c>
      <c r="X130" s="14">
        <v>75</v>
      </c>
      <c r="Y130" s="75">
        <v>0</v>
      </c>
      <c r="Z130" s="87">
        <f t="shared" si="27"/>
        <v>75</v>
      </c>
      <c r="AA130" s="14">
        <f t="shared" si="28"/>
        <v>0</v>
      </c>
      <c r="AB130" s="75">
        <v>0</v>
      </c>
      <c r="AC130" s="75">
        <v>0</v>
      </c>
      <c r="AD130" s="59">
        <f t="shared" si="29"/>
        <v>0</v>
      </c>
      <c r="AE130" s="73">
        <v>0</v>
      </c>
      <c r="AF130" s="73">
        <v>0</v>
      </c>
      <c r="AG130" s="15">
        <f t="shared" si="30"/>
        <v>0</v>
      </c>
      <c r="AH130" s="16">
        <f t="shared" si="31"/>
        <v>0</v>
      </c>
      <c r="AI130" s="17">
        <f t="shared" si="32"/>
        <v>352</v>
      </c>
      <c r="AJ130" s="12">
        <f>VLOOKUP(A130,'PreK Proxy - Sept. 2024'!$A$2:$I$674,9,FALSE)</f>
        <v>613</v>
      </c>
      <c r="AK130" s="18">
        <f t="shared" si="33"/>
        <v>0.57422512234910272</v>
      </c>
    </row>
    <row r="131" spans="1:37" x14ac:dyDescent="0.35">
      <c r="A131" s="11" t="s">
        <v>274</v>
      </c>
      <c r="B131" s="12" t="s">
        <v>275</v>
      </c>
      <c r="C131" s="54" t="s">
        <v>1456</v>
      </c>
      <c r="D131" s="54" t="s">
        <v>251</v>
      </c>
      <c r="E131" s="66">
        <f t="shared" si="18"/>
        <v>30</v>
      </c>
      <c r="F131" s="13">
        <f t="shared" si="19"/>
        <v>30</v>
      </c>
      <c r="G131" s="67">
        <f t="shared" si="20"/>
        <v>0</v>
      </c>
      <c r="H131" s="64">
        <f t="shared" si="17"/>
        <v>4</v>
      </c>
      <c r="I131" s="80">
        <v>0</v>
      </c>
      <c r="J131" s="80">
        <v>0</v>
      </c>
      <c r="K131" s="59">
        <f t="shared" si="21"/>
        <v>0</v>
      </c>
      <c r="L131" s="59">
        <v>0</v>
      </c>
      <c r="M131" s="59">
        <v>4</v>
      </c>
      <c r="N131" s="59">
        <f t="shared" si="22"/>
        <v>4</v>
      </c>
      <c r="O131" s="15">
        <f t="shared" si="23"/>
        <v>0</v>
      </c>
      <c r="P131" s="87">
        <f t="shared" si="24"/>
        <v>26</v>
      </c>
      <c r="Q131" s="110">
        <v>0</v>
      </c>
      <c r="R131" s="59">
        <v>26</v>
      </c>
      <c r="S131" s="14">
        <v>0</v>
      </c>
      <c r="T131" s="59">
        <v>0</v>
      </c>
      <c r="U131" s="15">
        <f t="shared" si="25"/>
        <v>0</v>
      </c>
      <c r="V131" s="14">
        <v>0</v>
      </c>
      <c r="W131" s="15">
        <f t="shared" si="26"/>
        <v>0</v>
      </c>
      <c r="X131" s="14">
        <v>0</v>
      </c>
      <c r="Y131" s="75">
        <v>0</v>
      </c>
      <c r="Z131" s="87">
        <f t="shared" si="27"/>
        <v>0</v>
      </c>
      <c r="AA131" s="14">
        <f t="shared" si="28"/>
        <v>0</v>
      </c>
      <c r="AB131" s="75">
        <v>0</v>
      </c>
      <c r="AC131" s="75">
        <v>0</v>
      </c>
      <c r="AD131" s="59">
        <f t="shared" si="29"/>
        <v>0</v>
      </c>
      <c r="AE131" s="73">
        <v>0</v>
      </c>
      <c r="AF131" s="73">
        <v>0</v>
      </c>
      <c r="AG131" s="15">
        <f t="shared" si="30"/>
        <v>0</v>
      </c>
      <c r="AH131" s="16">
        <f t="shared" si="31"/>
        <v>0</v>
      </c>
      <c r="AI131" s="17">
        <f t="shared" si="32"/>
        <v>30</v>
      </c>
      <c r="AJ131" s="12">
        <f>VLOOKUP(A131,'PreK Proxy - Sept. 2024'!$A$2:$I$674,9,FALSE)</f>
        <v>57</v>
      </c>
      <c r="AK131" s="18">
        <f t="shared" si="33"/>
        <v>0.52631578947368418</v>
      </c>
    </row>
    <row r="132" spans="1:37" x14ac:dyDescent="0.35">
      <c r="A132" s="11" t="s">
        <v>276</v>
      </c>
      <c r="B132" s="12" t="s">
        <v>277</v>
      </c>
      <c r="C132" s="54" t="s">
        <v>1415</v>
      </c>
      <c r="D132" s="54" t="s">
        <v>43</v>
      </c>
      <c r="E132" s="66">
        <f t="shared" si="18"/>
        <v>70</v>
      </c>
      <c r="F132" s="13">
        <f t="shared" si="19"/>
        <v>70</v>
      </c>
      <c r="G132" s="67">
        <f t="shared" si="20"/>
        <v>0</v>
      </c>
      <c r="H132" s="64">
        <f t="shared" ref="H132:H194" si="34">K132+N132</f>
        <v>27</v>
      </c>
      <c r="I132" s="80">
        <v>0</v>
      </c>
      <c r="J132" s="80">
        <v>0</v>
      </c>
      <c r="K132" s="59">
        <f t="shared" si="21"/>
        <v>0</v>
      </c>
      <c r="L132" s="59">
        <v>0</v>
      </c>
      <c r="M132" s="59">
        <v>27</v>
      </c>
      <c r="N132" s="59">
        <f t="shared" si="22"/>
        <v>27</v>
      </c>
      <c r="O132" s="15">
        <f t="shared" si="23"/>
        <v>0</v>
      </c>
      <c r="P132" s="87">
        <f t="shared" si="24"/>
        <v>43</v>
      </c>
      <c r="Q132" s="110">
        <v>0</v>
      </c>
      <c r="R132" s="59">
        <v>43</v>
      </c>
      <c r="S132" s="14">
        <v>0</v>
      </c>
      <c r="T132" s="59">
        <v>0</v>
      </c>
      <c r="U132" s="15">
        <f t="shared" si="25"/>
        <v>0</v>
      </c>
      <c r="V132" s="14">
        <v>0</v>
      </c>
      <c r="W132" s="15">
        <f t="shared" si="26"/>
        <v>0</v>
      </c>
      <c r="X132" s="14">
        <v>0</v>
      </c>
      <c r="Y132" s="75">
        <v>0</v>
      </c>
      <c r="Z132" s="87">
        <f t="shared" si="27"/>
        <v>0</v>
      </c>
      <c r="AA132" s="14">
        <f t="shared" si="28"/>
        <v>0</v>
      </c>
      <c r="AB132" s="75">
        <v>0</v>
      </c>
      <c r="AC132" s="75">
        <v>0</v>
      </c>
      <c r="AD132" s="59">
        <f t="shared" si="29"/>
        <v>0</v>
      </c>
      <c r="AE132" s="73">
        <v>0</v>
      </c>
      <c r="AF132" s="73">
        <v>0</v>
      </c>
      <c r="AG132" s="15">
        <f t="shared" si="30"/>
        <v>0</v>
      </c>
      <c r="AH132" s="16">
        <f t="shared" si="31"/>
        <v>0</v>
      </c>
      <c r="AI132" s="17">
        <f t="shared" si="32"/>
        <v>70</v>
      </c>
      <c r="AJ132" s="12">
        <f>VLOOKUP(A132,'PreK Proxy - Sept. 2024'!$A$2:$I$674,9,FALSE)</f>
        <v>88</v>
      </c>
      <c r="AK132" s="18">
        <f t="shared" si="33"/>
        <v>0.79545454545454541</v>
      </c>
    </row>
    <row r="133" spans="1:37" x14ac:dyDescent="0.35">
      <c r="A133" s="11" t="s">
        <v>278</v>
      </c>
      <c r="B133" s="12" t="s">
        <v>279</v>
      </c>
      <c r="C133" s="54" t="s">
        <v>1415</v>
      </c>
      <c r="D133" s="54" t="s">
        <v>43</v>
      </c>
      <c r="E133" s="66">
        <f t="shared" ref="E133:E196" si="35">F133+G133</f>
        <v>138</v>
      </c>
      <c r="F133" s="13">
        <f t="shared" ref="F133:F196" si="36">N133+R133+S133+V133+X133+AG133</f>
        <v>120</v>
      </c>
      <c r="G133" s="67">
        <f t="shared" ref="G133:G196" si="37">K133+Q133+AD133</f>
        <v>18</v>
      </c>
      <c r="H133" s="64">
        <f t="shared" si="34"/>
        <v>138</v>
      </c>
      <c r="I133" s="80">
        <v>0</v>
      </c>
      <c r="J133" s="80">
        <v>18</v>
      </c>
      <c r="K133" s="59">
        <f t="shared" ref="K133:K196" si="38">I133+J133</f>
        <v>18</v>
      </c>
      <c r="L133" s="59">
        <v>0</v>
      </c>
      <c r="M133" s="59">
        <v>120</v>
      </c>
      <c r="N133" s="59">
        <f t="shared" ref="N133:N196" si="39">L133+M133</f>
        <v>120</v>
      </c>
      <c r="O133" s="15">
        <f t="shared" ref="O133:O196" si="40">T133+Y133</f>
        <v>0</v>
      </c>
      <c r="P133" s="87">
        <f t="shared" ref="P133:P196" si="41">Q133+R133</f>
        <v>0</v>
      </c>
      <c r="Q133" s="110">
        <v>0</v>
      </c>
      <c r="R133" s="59">
        <v>0</v>
      </c>
      <c r="S133" s="14">
        <v>0</v>
      </c>
      <c r="T133" s="59">
        <v>0</v>
      </c>
      <c r="U133" s="15">
        <f t="shared" ref="U133:U195" si="42">S133+T133</f>
        <v>0</v>
      </c>
      <c r="V133" s="14">
        <v>0</v>
      </c>
      <c r="W133" s="15">
        <f t="shared" ref="W133:W196" si="43">V133</f>
        <v>0</v>
      </c>
      <c r="X133" s="14">
        <v>0</v>
      </c>
      <c r="Y133" s="75">
        <v>0</v>
      </c>
      <c r="Z133" s="87">
        <f t="shared" ref="Z133:Z196" si="44">X133+Y133</f>
        <v>0</v>
      </c>
      <c r="AA133" s="14">
        <f t="shared" ref="AA133:AA196" si="45">AD133+AG133</f>
        <v>0</v>
      </c>
      <c r="AB133" s="75">
        <v>0</v>
      </c>
      <c r="AC133" s="75">
        <v>0</v>
      </c>
      <c r="AD133" s="59">
        <f t="shared" ref="AD133:AD196" si="46">AB133+AC133</f>
        <v>0</v>
      </c>
      <c r="AE133" s="73">
        <v>0</v>
      </c>
      <c r="AF133" s="73">
        <v>0</v>
      </c>
      <c r="AG133" s="15">
        <f t="shared" ref="AG133:AG196" si="47">AE133+AF133</f>
        <v>0</v>
      </c>
      <c r="AH133" s="16">
        <f t="shared" ref="AH133:AH196" si="48">J133+Q133+AC133</f>
        <v>18</v>
      </c>
      <c r="AI133" s="17">
        <f t="shared" ref="AI133:AI196" si="49">M133+R133+S133+V133+X133+AF133</f>
        <v>120</v>
      </c>
      <c r="AJ133" s="12">
        <f>VLOOKUP(A133,'PreK Proxy - Sept. 2024'!$A$2:$I$674,9,FALSE)</f>
        <v>239</v>
      </c>
      <c r="AK133" s="18">
        <f t="shared" ref="AK133:AK196" si="50">IFERROR(MIN(100%,((AI133+AH133)/AJ133)),0)</f>
        <v>0.57740585774058573</v>
      </c>
    </row>
    <row r="134" spans="1:37" x14ac:dyDescent="0.35">
      <c r="A134" s="11" t="s">
        <v>280</v>
      </c>
      <c r="B134" s="12" t="s">
        <v>281</v>
      </c>
      <c r="C134" s="54" t="s">
        <v>1415</v>
      </c>
      <c r="D134" s="54" t="s">
        <v>43</v>
      </c>
      <c r="E134" s="66">
        <f t="shared" si="35"/>
        <v>304</v>
      </c>
      <c r="F134" s="13">
        <f t="shared" si="36"/>
        <v>304</v>
      </c>
      <c r="G134" s="67">
        <f t="shared" si="37"/>
        <v>0</v>
      </c>
      <c r="H134" s="64">
        <f t="shared" si="34"/>
        <v>101</v>
      </c>
      <c r="I134" s="80">
        <v>0</v>
      </c>
      <c r="J134" s="80">
        <v>0</v>
      </c>
      <c r="K134" s="59">
        <f t="shared" si="38"/>
        <v>0</v>
      </c>
      <c r="L134" s="59">
        <v>0</v>
      </c>
      <c r="M134" s="59">
        <v>101</v>
      </c>
      <c r="N134" s="59">
        <f t="shared" si="39"/>
        <v>101</v>
      </c>
      <c r="O134" s="15">
        <f t="shared" si="40"/>
        <v>0</v>
      </c>
      <c r="P134" s="87">
        <f t="shared" si="41"/>
        <v>203</v>
      </c>
      <c r="Q134" s="110">
        <v>0</v>
      </c>
      <c r="R134" s="59">
        <v>203</v>
      </c>
      <c r="S134" s="14">
        <v>0</v>
      </c>
      <c r="T134" s="59">
        <v>0</v>
      </c>
      <c r="U134" s="15">
        <f t="shared" si="42"/>
        <v>0</v>
      </c>
      <c r="V134" s="14">
        <v>0</v>
      </c>
      <c r="W134" s="15">
        <f t="shared" si="43"/>
        <v>0</v>
      </c>
      <c r="X134" s="14">
        <v>0</v>
      </c>
      <c r="Y134" s="75">
        <v>0</v>
      </c>
      <c r="Z134" s="87">
        <f t="shared" si="44"/>
        <v>0</v>
      </c>
      <c r="AA134" s="14">
        <f t="shared" si="45"/>
        <v>0</v>
      </c>
      <c r="AB134" s="75">
        <v>0</v>
      </c>
      <c r="AC134" s="75">
        <v>0</v>
      </c>
      <c r="AD134" s="59">
        <f t="shared" si="46"/>
        <v>0</v>
      </c>
      <c r="AE134" s="73">
        <v>0</v>
      </c>
      <c r="AF134" s="73">
        <v>0</v>
      </c>
      <c r="AG134" s="15">
        <f t="shared" si="47"/>
        <v>0</v>
      </c>
      <c r="AH134" s="16">
        <f t="shared" si="48"/>
        <v>0</v>
      </c>
      <c r="AI134" s="17">
        <f t="shared" si="49"/>
        <v>304</v>
      </c>
      <c r="AJ134" s="12">
        <f>VLOOKUP(A134,'PreK Proxy - Sept. 2024'!$A$2:$I$674,9,FALSE)</f>
        <v>642</v>
      </c>
      <c r="AK134" s="18">
        <f t="shared" si="50"/>
        <v>0.4735202492211838</v>
      </c>
    </row>
    <row r="135" spans="1:37" x14ac:dyDescent="0.35">
      <c r="A135" s="11" t="s">
        <v>282</v>
      </c>
      <c r="B135" s="12" t="s">
        <v>283</v>
      </c>
      <c r="C135" s="54" t="s">
        <v>1415</v>
      </c>
      <c r="D135" s="54" t="s">
        <v>43</v>
      </c>
      <c r="E135" s="66">
        <f t="shared" si="35"/>
        <v>189</v>
      </c>
      <c r="F135" s="13">
        <f t="shared" si="36"/>
        <v>189</v>
      </c>
      <c r="G135" s="67">
        <f t="shared" si="37"/>
        <v>0</v>
      </c>
      <c r="H135" s="64">
        <f t="shared" si="34"/>
        <v>135</v>
      </c>
      <c r="I135" s="80">
        <v>0</v>
      </c>
      <c r="J135" s="80">
        <v>0</v>
      </c>
      <c r="K135" s="59">
        <f t="shared" si="38"/>
        <v>0</v>
      </c>
      <c r="L135" s="59">
        <v>0</v>
      </c>
      <c r="M135" s="59">
        <v>135</v>
      </c>
      <c r="N135" s="59">
        <f t="shared" si="39"/>
        <v>135</v>
      </c>
      <c r="O135" s="15">
        <f t="shared" si="40"/>
        <v>0</v>
      </c>
      <c r="P135" s="87">
        <f t="shared" si="41"/>
        <v>0</v>
      </c>
      <c r="Q135" s="110">
        <v>0</v>
      </c>
      <c r="R135" s="59">
        <v>0</v>
      </c>
      <c r="S135" s="14">
        <v>0</v>
      </c>
      <c r="T135" s="59">
        <v>0</v>
      </c>
      <c r="U135" s="15">
        <f t="shared" si="42"/>
        <v>0</v>
      </c>
      <c r="V135" s="14">
        <v>0</v>
      </c>
      <c r="W135" s="15">
        <f t="shared" si="43"/>
        <v>0</v>
      </c>
      <c r="X135" s="14">
        <v>54</v>
      </c>
      <c r="Y135" s="75">
        <v>0</v>
      </c>
      <c r="Z135" s="87">
        <f t="shared" si="44"/>
        <v>54</v>
      </c>
      <c r="AA135" s="14">
        <f t="shared" si="45"/>
        <v>0</v>
      </c>
      <c r="AB135" s="75">
        <v>0</v>
      </c>
      <c r="AC135" s="75">
        <v>0</v>
      </c>
      <c r="AD135" s="59">
        <f t="shared" si="46"/>
        <v>0</v>
      </c>
      <c r="AE135" s="73">
        <v>0</v>
      </c>
      <c r="AF135" s="73">
        <v>0</v>
      </c>
      <c r="AG135" s="15">
        <f t="shared" si="47"/>
        <v>0</v>
      </c>
      <c r="AH135" s="16">
        <f t="shared" si="48"/>
        <v>0</v>
      </c>
      <c r="AI135" s="17">
        <f t="shared" si="49"/>
        <v>189</v>
      </c>
      <c r="AJ135" s="12">
        <f>VLOOKUP(A135,'PreK Proxy - Sept. 2024'!$A$2:$I$674,9,FALSE)</f>
        <v>230</v>
      </c>
      <c r="AK135" s="18">
        <f t="shared" si="50"/>
        <v>0.82173913043478264</v>
      </c>
    </row>
    <row r="136" spans="1:37" x14ac:dyDescent="0.35">
      <c r="A136" s="11" t="s">
        <v>284</v>
      </c>
      <c r="B136" s="12" t="s">
        <v>285</v>
      </c>
      <c r="C136" s="54" t="s">
        <v>1415</v>
      </c>
      <c r="D136" s="54" t="s">
        <v>43</v>
      </c>
      <c r="E136" s="66">
        <f t="shared" si="35"/>
        <v>79</v>
      </c>
      <c r="F136" s="13">
        <f t="shared" si="36"/>
        <v>79</v>
      </c>
      <c r="G136" s="67">
        <f t="shared" si="37"/>
        <v>0</v>
      </c>
      <c r="H136" s="64">
        <f t="shared" si="34"/>
        <v>33</v>
      </c>
      <c r="I136" s="80">
        <v>0</v>
      </c>
      <c r="J136" s="80">
        <v>0</v>
      </c>
      <c r="K136" s="59">
        <f t="shared" si="38"/>
        <v>0</v>
      </c>
      <c r="L136" s="59">
        <v>0</v>
      </c>
      <c r="M136" s="59">
        <v>33</v>
      </c>
      <c r="N136" s="59">
        <f t="shared" si="39"/>
        <v>33</v>
      </c>
      <c r="O136" s="15">
        <f t="shared" si="40"/>
        <v>0</v>
      </c>
      <c r="P136" s="87">
        <f t="shared" si="41"/>
        <v>46</v>
      </c>
      <c r="Q136" s="110">
        <v>0</v>
      </c>
      <c r="R136" s="59">
        <v>46</v>
      </c>
      <c r="S136" s="14">
        <v>0</v>
      </c>
      <c r="T136" s="59">
        <v>0</v>
      </c>
      <c r="U136" s="15">
        <f t="shared" si="42"/>
        <v>0</v>
      </c>
      <c r="V136" s="14">
        <v>0</v>
      </c>
      <c r="W136" s="15">
        <f t="shared" si="43"/>
        <v>0</v>
      </c>
      <c r="X136" s="14">
        <v>0</v>
      </c>
      <c r="Y136" s="75">
        <v>0</v>
      </c>
      <c r="Z136" s="87">
        <f t="shared" si="44"/>
        <v>0</v>
      </c>
      <c r="AA136" s="14">
        <f t="shared" si="45"/>
        <v>0</v>
      </c>
      <c r="AB136" s="75">
        <v>0</v>
      </c>
      <c r="AC136" s="75">
        <v>0</v>
      </c>
      <c r="AD136" s="59">
        <f t="shared" si="46"/>
        <v>0</v>
      </c>
      <c r="AE136" s="73">
        <v>0</v>
      </c>
      <c r="AF136" s="73">
        <v>0</v>
      </c>
      <c r="AG136" s="15">
        <f t="shared" si="47"/>
        <v>0</v>
      </c>
      <c r="AH136" s="16">
        <f t="shared" si="48"/>
        <v>0</v>
      </c>
      <c r="AI136" s="17">
        <f t="shared" si="49"/>
        <v>79</v>
      </c>
      <c r="AJ136" s="12">
        <f>VLOOKUP(A136,'PreK Proxy - Sept. 2024'!$A$2:$I$674,9,FALSE)</f>
        <v>109</v>
      </c>
      <c r="AK136" s="18">
        <f t="shared" si="50"/>
        <v>0.72477064220183485</v>
      </c>
    </row>
    <row r="137" spans="1:37" x14ac:dyDescent="0.35">
      <c r="A137" s="11" t="s">
        <v>286</v>
      </c>
      <c r="B137" s="12" t="s">
        <v>287</v>
      </c>
      <c r="C137" s="54" t="s">
        <v>1415</v>
      </c>
      <c r="D137" s="54" t="s">
        <v>43</v>
      </c>
      <c r="E137" s="66">
        <f t="shared" si="35"/>
        <v>2139</v>
      </c>
      <c r="F137" s="13">
        <f t="shared" si="36"/>
        <v>2125</v>
      </c>
      <c r="G137" s="67">
        <f t="shared" si="37"/>
        <v>14</v>
      </c>
      <c r="H137" s="64">
        <f t="shared" si="34"/>
        <v>1336</v>
      </c>
      <c r="I137" s="80">
        <v>0</v>
      </c>
      <c r="J137" s="80">
        <v>14</v>
      </c>
      <c r="K137" s="59">
        <f t="shared" si="38"/>
        <v>14</v>
      </c>
      <c r="L137" s="59">
        <v>0</v>
      </c>
      <c r="M137" s="59">
        <v>1322</v>
      </c>
      <c r="N137" s="59">
        <f t="shared" si="39"/>
        <v>1322</v>
      </c>
      <c r="O137" s="15">
        <f t="shared" si="40"/>
        <v>0</v>
      </c>
      <c r="P137" s="87">
        <f t="shared" si="41"/>
        <v>0</v>
      </c>
      <c r="Q137" s="110">
        <v>0</v>
      </c>
      <c r="R137" s="59">
        <v>0</v>
      </c>
      <c r="S137" s="14">
        <v>265</v>
      </c>
      <c r="T137" s="59">
        <v>0</v>
      </c>
      <c r="U137" s="15">
        <f t="shared" si="42"/>
        <v>265</v>
      </c>
      <c r="V137" s="14">
        <v>0</v>
      </c>
      <c r="W137" s="15">
        <f t="shared" si="43"/>
        <v>0</v>
      </c>
      <c r="X137" s="14">
        <v>538</v>
      </c>
      <c r="Y137" s="75">
        <v>0</v>
      </c>
      <c r="Z137" s="87">
        <f t="shared" si="44"/>
        <v>538</v>
      </c>
      <c r="AA137" s="14">
        <f t="shared" si="45"/>
        <v>0</v>
      </c>
      <c r="AB137" s="75">
        <v>0</v>
      </c>
      <c r="AC137" s="75">
        <v>0</v>
      </c>
      <c r="AD137" s="59">
        <f t="shared" si="46"/>
        <v>0</v>
      </c>
      <c r="AE137" s="73">
        <v>0</v>
      </c>
      <c r="AF137" s="73">
        <v>0</v>
      </c>
      <c r="AG137" s="15">
        <f t="shared" si="47"/>
        <v>0</v>
      </c>
      <c r="AH137" s="16">
        <f t="shared" si="48"/>
        <v>14</v>
      </c>
      <c r="AI137" s="17">
        <f t="shared" si="49"/>
        <v>2125</v>
      </c>
      <c r="AJ137" s="12">
        <f>VLOOKUP(A137,'PreK Proxy - Sept. 2024'!$A$2:$I$674,9,FALSE)</f>
        <v>2606</v>
      </c>
      <c r="AK137" s="18">
        <f t="shared" si="50"/>
        <v>0.82079815809669987</v>
      </c>
    </row>
    <row r="138" spans="1:37" x14ac:dyDescent="0.35">
      <c r="A138" s="11" t="s">
        <v>288</v>
      </c>
      <c r="B138" s="12" t="s">
        <v>289</v>
      </c>
      <c r="C138" s="54" t="s">
        <v>1415</v>
      </c>
      <c r="D138" s="54" t="s">
        <v>43</v>
      </c>
      <c r="E138" s="66">
        <f t="shared" si="35"/>
        <v>125</v>
      </c>
      <c r="F138" s="13">
        <f t="shared" si="36"/>
        <v>125</v>
      </c>
      <c r="G138" s="67">
        <f t="shared" si="37"/>
        <v>0</v>
      </c>
      <c r="H138" s="64">
        <f t="shared" si="34"/>
        <v>124</v>
      </c>
      <c r="I138" s="80">
        <v>0</v>
      </c>
      <c r="J138" s="80">
        <v>0</v>
      </c>
      <c r="K138" s="59">
        <f t="shared" si="38"/>
        <v>0</v>
      </c>
      <c r="L138" s="59">
        <v>18</v>
      </c>
      <c r="M138" s="59">
        <v>106</v>
      </c>
      <c r="N138" s="59">
        <f t="shared" si="39"/>
        <v>124</v>
      </c>
      <c r="O138" s="15">
        <f t="shared" si="40"/>
        <v>88</v>
      </c>
      <c r="P138" s="87">
        <f t="shared" si="41"/>
        <v>0</v>
      </c>
      <c r="Q138" s="110">
        <v>0</v>
      </c>
      <c r="R138" s="59">
        <v>0</v>
      </c>
      <c r="S138" s="14">
        <v>1</v>
      </c>
      <c r="T138" s="59">
        <v>88</v>
      </c>
      <c r="U138" s="15">
        <f t="shared" si="42"/>
        <v>89</v>
      </c>
      <c r="V138" s="14">
        <v>0</v>
      </c>
      <c r="W138" s="15">
        <f t="shared" si="43"/>
        <v>0</v>
      </c>
      <c r="X138" s="14">
        <v>0</v>
      </c>
      <c r="Y138" s="75">
        <v>0</v>
      </c>
      <c r="Z138" s="87">
        <f t="shared" si="44"/>
        <v>0</v>
      </c>
      <c r="AA138" s="14">
        <f t="shared" si="45"/>
        <v>0</v>
      </c>
      <c r="AB138" s="75">
        <v>0</v>
      </c>
      <c r="AC138" s="75">
        <v>0</v>
      </c>
      <c r="AD138" s="59">
        <f t="shared" si="46"/>
        <v>0</v>
      </c>
      <c r="AE138" s="73">
        <v>0</v>
      </c>
      <c r="AF138" s="73">
        <v>0</v>
      </c>
      <c r="AG138" s="15">
        <f t="shared" si="47"/>
        <v>0</v>
      </c>
      <c r="AH138" s="16">
        <f t="shared" si="48"/>
        <v>0</v>
      </c>
      <c r="AI138" s="17">
        <f t="shared" si="49"/>
        <v>107</v>
      </c>
      <c r="AJ138" s="12">
        <f>VLOOKUP(A138,'PreK Proxy - Sept. 2024'!$A$2:$I$674,9,FALSE)</f>
        <v>141</v>
      </c>
      <c r="AK138" s="18">
        <f t="shared" si="50"/>
        <v>0.75886524822695034</v>
      </c>
    </row>
    <row r="139" spans="1:37" x14ac:dyDescent="0.35">
      <c r="A139" s="11" t="s">
        <v>290</v>
      </c>
      <c r="B139" s="12" t="s">
        <v>291</v>
      </c>
      <c r="C139" s="54" t="s">
        <v>1415</v>
      </c>
      <c r="D139" s="54" t="s">
        <v>43</v>
      </c>
      <c r="E139" s="66">
        <f t="shared" si="35"/>
        <v>91</v>
      </c>
      <c r="F139" s="13">
        <f t="shared" si="36"/>
        <v>45</v>
      </c>
      <c r="G139" s="67">
        <f t="shared" si="37"/>
        <v>46</v>
      </c>
      <c r="H139" s="64">
        <f t="shared" si="34"/>
        <v>91</v>
      </c>
      <c r="I139" s="80">
        <v>0</v>
      </c>
      <c r="J139" s="80">
        <v>46</v>
      </c>
      <c r="K139" s="59">
        <f t="shared" si="38"/>
        <v>46</v>
      </c>
      <c r="L139" s="59">
        <v>0</v>
      </c>
      <c r="M139" s="59">
        <v>45</v>
      </c>
      <c r="N139" s="59">
        <f t="shared" si="39"/>
        <v>45</v>
      </c>
      <c r="O139" s="15">
        <f t="shared" si="40"/>
        <v>0</v>
      </c>
      <c r="P139" s="87">
        <f t="shared" si="41"/>
        <v>0</v>
      </c>
      <c r="Q139" s="110">
        <v>0</v>
      </c>
      <c r="R139" s="59">
        <v>0</v>
      </c>
      <c r="S139" s="14">
        <v>0</v>
      </c>
      <c r="T139" s="59">
        <v>0</v>
      </c>
      <c r="U139" s="15">
        <f t="shared" si="42"/>
        <v>0</v>
      </c>
      <c r="V139" s="14">
        <v>0</v>
      </c>
      <c r="W139" s="15">
        <f t="shared" si="43"/>
        <v>0</v>
      </c>
      <c r="X139" s="14">
        <v>0</v>
      </c>
      <c r="Y139" s="75">
        <v>0</v>
      </c>
      <c r="Z139" s="87">
        <f t="shared" si="44"/>
        <v>0</v>
      </c>
      <c r="AA139" s="14">
        <f t="shared" si="45"/>
        <v>0</v>
      </c>
      <c r="AB139" s="75">
        <v>0</v>
      </c>
      <c r="AC139" s="75">
        <v>0</v>
      </c>
      <c r="AD139" s="59">
        <f t="shared" si="46"/>
        <v>0</v>
      </c>
      <c r="AE139" s="73">
        <v>0</v>
      </c>
      <c r="AF139" s="73">
        <v>0</v>
      </c>
      <c r="AG139" s="15">
        <f t="shared" si="47"/>
        <v>0</v>
      </c>
      <c r="AH139" s="16">
        <f t="shared" si="48"/>
        <v>46</v>
      </c>
      <c r="AI139" s="17">
        <f t="shared" si="49"/>
        <v>45</v>
      </c>
      <c r="AJ139" s="12">
        <f>VLOOKUP(A139,'PreK Proxy - Sept. 2024'!$A$2:$I$674,9,FALSE)</f>
        <v>133</v>
      </c>
      <c r="AK139" s="18">
        <f t="shared" si="50"/>
        <v>0.68421052631578949</v>
      </c>
    </row>
    <row r="140" spans="1:37" x14ac:dyDescent="0.35">
      <c r="A140" s="11" t="s">
        <v>292</v>
      </c>
      <c r="B140" s="12" t="s">
        <v>293</v>
      </c>
      <c r="C140" s="54" t="s">
        <v>1415</v>
      </c>
      <c r="D140" s="54" t="s">
        <v>43</v>
      </c>
      <c r="E140" s="66">
        <f t="shared" si="35"/>
        <v>58</v>
      </c>
      <c r="F140" s="13">
        <f t="shared" si="36"/>
        <v>26</v>
      </c>
      <c r="G140" s="67">
        <f t="shared" si="37"/>
        <v>32</v>
      </c>
      <c r="H140" s="64">
        <f t="shared" si="34"/>
        <v>53</v>
      </c>
      <c r="I140" s="80">
        <v>0</v>
      </c>
      <c r="J140" s="80">
        <v>31</v>
      </c>
      <c r="K140" s="59">
        <f t="shared" si="38"/>
        <v>31</v>
      </c>
      <c r="L140" s="59">
        <v>0</v>
      </c>
      <c r="M140" s="59">
        <v>22</v>
      </c>
      <c r="N140" s="59">
        <f t="shared" si="39"/>
        <v>22</v>
      </c>
      <c r="O140" s="15">
        <f t="shared" si="40"/>
        <v>0</v>
      </c>
      <c r="P140" s="87">
        <f t="shared" si="41"/>
        <v>5</v>
      </c>
      <c r="Q140" s="110">
        <v>1</v>
      </c>
      <c r="R140" s="59">
        <v>4</v>
      </c>
      <c r="S140" s="14">
        <v>0</v>
      </c>
      <c r="T140" s="59">
        <v>0</v>
      </c>
      <c r="U140" s="15">
        <f t="shared" si="42"/>
        <v>0</v>
      </c>
      <c r="V140" s="14">
        <v>0</v>
      </c>
      <c r="W140" s="15">
        <f t="shared" si="43"/>
        <v>0</v>
      </c>
      <c r="X140" s="14">
        <v>0</v>
      </c>
      <c r="Y140" s="75">
        <v>0</v>
      </c>
      <c r="Z140" s="87">
        <f t="shared" si="44"/>
        <v>0</v>
      </c>
      <c r="AA140" s="14">
        <f t="shared" si="45"/>
        <v>0</v>
      </c>
      <c r="AB140" s="75">
        <v>0</v>
      </c>
      <c r="AC140" s="75">
        <v>0</v>
      </c>
      <c r="AD140" s="59">
        <f t="shared" si="46"/>
        <v>0</v>
      </c>
      <c r="AE140" s="73">
        <v>0</v>
      </c>
      <c r="AF140" s="73">
        <v>0</v>
      </c>
      <c r="AG140" s="15">
        <f t="shared" si="47"/>
        <v>0</v>
      </c>
      <c r="AH140" s="16">
        <f t="shared" si="48"/>
        <v>32</v>
      </c>
      <c r="AI140" s="17">
        <f t="shared" si="49"/>
        <v>26</v>
      </c>
      <c r="AJ140" s="12">
        <f>VLOOKUP(A140,'PreK Proxy - Sept. 2024'!$A$2:$I$674,9,FALSE)</f>
        <v>73</v>
      </c>
      <c r="AK140" s="18">
        <f t="shared" si="50"/>
        <v>0.79452054794520544</v>
      </c>
    </row>
    <row r="141" spans="1:37" x14ac:dyDescent="0.35">
      <c r="A141" s="11" t="s">
        <v>294</v>
      </c>
      <c r="B141" s="12" t="s">
        <v>295</v>
      </c>
      <c r="C141" s="54" t="s">
        <v>1415</v>
      </c>
      <c r="D141" s="54" t="s">
        <v>43</v>
      </c>
      <c r="E141" s="66">
        <f t="shared" si="35"/>
        <v>66</v>
      </c>
      <c r="F141" s="13">
        <f t="shared" si="36"/>
        <v>66</v>
      </c>
      <c r="G141" s="67">
        <f t="shared" si="37"/>
        <v>0</v>
      </c>
      <c r="H141" s="64">
        <f t="shared" si="34"/>
        <v>66</v>
      </c>
      <c r="I141" s="80">
        <v>0</v>
      </c>
      <c r="J141" s="80">
        <v>0</v>
      </c>
      <c r="K141" s="59">
        <f t="shared" si="38"/>
        <v>0</v>
      </c>
      <c r="L141" s="59">
        <v>0</v>
      </c>
      <c r="M141" s="59">
        <v>66</v>
      </c>
      <c r="N141" s="59">
        <f t="shared" si="39"/>
        <v>66</v>
      </c>
      <c r="O141" s="15">
        <f t="shared" si="40"/>
        <v>0</v>
      </c>
      <c r="P141" s="87">
        <f t="shared" si="41"/>
        <v>0</v>
      </c>
      <c r="Q141" s="110">
        <v>0</v>
      </c>
      <c r="R141" s="59">
        <v>0</v>
      </c>
      <c r="S141" s="14">
        <v>0</v>
      </c>
      <c r="T141" s="59">
        <v>0</v>
      </c>
      <c r="U141" s="15">
        <f t="shared" si="42"/>
        <v>0</v>
      </c>
      <c r="V141" s="14">
        <v>0</v>
      </c>
      <c r="W141" s="15">
        <f t="shared" si="43"/>
        <v>0</v>
      </c>
      <c r="X141" s="14">
        <v>0</v>
      </c>
      <c r="Y141" s="75">
        <v>0</v>
      </c>
      <c r="Z141" s="87">
        <f t="shared" si="44"/>
        <v>0</v>
      </c>
      <c r="AA141" s="14">
        <f t="shared" si="45"/>
        <v>0</v>
      </c>
      <c r="AB141" s="75">
        <v>0</v>
      </c>
      <c r="AC141" s="75">
        <v>0</v>
      </c>
      <c r="AD141" s="59">
        <f t="shared" si="46"/>
        <v>0</v>
      </c>
      <c r="AE141" s="73">
        <v>0</v>
      </c>
      <c r="AF141" s="73">
        <v>0</v>
      </c>
      <c r="AG141" s="15">
        <f t="shared" si="47"/>
        <v>0</v>
      </c>
      <c r="AH141" s="16">
        <f t="shared" si="48"/>
        <v>0</v>
      </c>
      <c r="AI141" s="17">
        <f t="shared" si="49"/>
        <v>66</v>
      </c>
      <c r="AJ141" s="12">
        <f>VLOOKUP(A141,'PreK Proxy - Sept. 2024'!$A$2:$I$674,9,FALSE)</f>
        <v>119</v>
      </c>
      <c r="AK141" s="18">
        <f t="shared" si="50"/>
        <v>0.55462184873949583</v>
      </c>
    </row>
    <row r="142" spans="1:37" x14ac:dyDescent="0.35">
      <c r="A142" s="11" t="s">
        <v>296</v>
      </c>
      <c r="B142" s="12" t="s">
        <v>297</v>
      </c>
      <c r="C142" s="54" t="s">
        <v>1415</v>
      </c>
      <c r="D142" s="54" t="s">
        <v>43</v>
      </c>
      <c r="E142" s="66">
        <f t="shared" si="35"/>
        <v>63</v>
      </c>
      <c r="F142" s="13">
        <f t="shared" si="36"/>
        <v>0</v>
      </c>
      <c r="G142" s="67">
        <f t="shared" si="37"/>
        <v>63</v>
      </c>
      <c r="H142" s="64">
        <f t="shared" si="34"/>
        <v>63</v>
      </c>
      <c r="I142" s="80">
        <v>0</v>
      </c>
      <c r="J142" s="80">
        <v>63</v>
      </c>
      <c r="K142" s="59">
        <f t="shared" si="38"/>
        <v>63</v>
      </c>
      <c r="L142" s="59">
        <v>0</v>
      </c>
      <c r="M142" s="59">
        <v>0</v>
      </c>
      <c r="N142" s="59">
        <f t="shared" si="39"/>
        <v>0</v>
      </c>
      <c r="O142" s="15">
        <f t="shared" si="40"/>
        <v>0</v>
      </c>
      <c r="P142" s="87">
        <f t="shared" si="41"/>
        <v>0</v>
      </c>
      <c r="Q142" s="110">
        <v>0</v>
      </c>
      <c r="R142" s="59">
        <v>0</v>
      </c>
      <c r="S142" s="14">
        <v>0</v>
      </c>
      <c r="T142" s="59">
        <v>0</v>
      </c>
      <c r="U142" s="15">
        <f t="shared" si="42"/>
        <v>0</v>
      </c>
      <c r="V142" s="14">
        <v>0</v>
      </c>
      <c r="W142" s="15">
        <f t="shared" si="43"/>
        <v>0</v>
      </c>
      <c r="X142" s="14">
        <v>0</v>
      </c>
      <c r="Y142" s="75">
        <v>0</v>
      </c>
      <c r="Z142" s="87">
        <f t="shared" si="44"/>
        <v>0</v>
      </c>
      <c r="AA142" s="14">
        <f t="shared" si="45"/>
        <v>0</v>
      </c>
      <c r="AB142" s="75">
        <v>0</v>
      </c>
      <c r="AC142" s="75">
        <v>0</v>
      </c>
      <c r="AD142" s="59">
        <f t="shared" si="46"/>
        <v>0</v>
      </c>
      <c r="AE142" s="73">
        <v>0</v>
      </c>
      <c r="AF142" s="73">
        <v>0</v>
      </c>
      <c r="AG142" s="15">
        <f t="shared" si="47"/>
        <v>0</v>
      </c>
      <c r="AH142" s="16">
        <f t="shared" si="48"/>
        <v>63</v>
      </c>
      <c r="AI142" s="17">
        <f t="shared" si="49"/>
        <v>0</v>
      </c>
      <c r="AJ142" s="12">
        <f>VLOOKUP(A142,'PreK Proxy - Sept. 2024'!$A$2:$I$674,9,FALSE)</f>
        <v>88</v>
      </c>
      <c r="AK142" s="18">
        <f t="shared" si="50"/>
        <v>0.71590909090909094</v>
      </c>
    </row>
    <row r="143" spans="1:37" x14ac:dyDescent="0.35">
      <c r="A143" s="11" t="s">
        <v>298</v>
      </c>
      <c r="B143" s="12" t="s">
        <v>299</v>
      </c>
      <c r="C143" s="54" t="s">
        <v>1415</v>
      </c>
      <c r="D143" s="54" t="s">
        <v>43</v>
      </c>
      <c r="E143" s="66">
        <f t="shared" si="35"/>
        <v>160</v>
      </c>
      <c r="F143" s="13">
        <f t="shared" si="36"/>
        <v>160</v>
      </c>
      <c r="G143" s="67">
        <f t="shared" si="37"/>
        <v>0</v>
      </c>
      <c r="H143" s="64">
        <f t="shared" si="34"/>
        <v>160</v>
      </c>
      <c r="I143" s="80">
        <v>0</v>
      </c>
      <c r="J143" s="80">
        <v>0</v>
      </c>
      <c r="K143" s="59">
        <f t="shared" si="38"/>
        <v>0</v>
      </c>
      <c r="L143" s="59">
        <v>0</v>
      </c>
      <c r="M143" s="59">
        <v>160</v>
      </c>
      <c r="N143" s="59">
        <f t="shared" si="39"/>
        <v>160</v>
      </c>
      <c r="O143" s="15">
        <f t="shared" si="40"/>
        <v>0</v>
      </c>
      <c r="P143" s="87">
        <f t="shared" si="41"/>
        <v>0</v>
      </c>
      <c r="Q143" s="110">
        <v>0</v>
      </c>
      <c r="R143" s="59">
        <v>0</v>
      </c>
      <c r="S143" s="14">
        <v>0</v>
      </c>
      <c r="T143" s="59">
        <v>0</v>
      </c>
      <c r="U143" s="15">
        <f t="shared" si="42"/>
        <v>0</v>
      </c>
      <c r="V143" s="14">
        <v>0</v>
      </c>
      <c r="W143" s="15">
        <f t="shared" si="43"/>
        <v>0</v>
      </c>
      <c r="X143" s="14">
        <v>0</v>
      </c>
      <c r="Y143" s="75">
        <v>0</v>
      </c>
      <c r="Z143" s="87">
        <f t="shared" si="44"/>
        <v>0</v>
      </c>
      <c r="AA143" s="14">
        <f t="shared" si="45"/>
        <v>0</v>
      </c>
      <c r="AB143" s="75">
        <v>0</v>
      </c>
      <c r="AC143" s="75">
        <v>0</v>
      </c>
      <c r="AD143" s="59">
        <f t="shared" si="46"/>
        <v>0</v>
      </c>
      <c r="AE143" s="73">
        <v>0</v>
      </c>
      <c r="AF143" s="73">
        <v>0</v>
      </c>
      <c r="AG143" s="15">
        <f t="shared" si="47"/>
        <v>0</v>
      </c>
      <c r="AH143" s="16">
        <f t="shared" si="48"/>
        <v>0</v>
      </c>
      <c r="AI143" s="17">
        <f t="shared" si="49"/>
        <v>160</v>
      </c>
      <c r="AJ143" s="12">
        <f>VLOOKUP(A143,'PreK Proxy - Sept. 2024'!$A$2:$I$674,9,FALSE)</f>
        <v>273</v>
      </c>
      <c r="AK143" s="18">
        <f t="shared" si="50"/>
        <v>0.58608058608058611</v>
      </c>
    </row>
    <row r="144" spans="1:37" x14ac:dyDescent="0.35">
      <c r="A144" s="11" t="s">
        <v>300</v>
      </c>
      <c r="B144" s="12" t="s">
        <v>301</v>
      </c>
      <c r="C144" s="54" t="s">
        <v>1415</v>
      </c>
      <c r="D144" s="54" t="s">
        <v>43</v>
      </c>
      <c r="E144" s="66">
        <f t="shared" si="35"/>
        <v>78</v>
      </c>
      <c r="F144" s="13">
        <f t="shared" si="36"/>
        <v>78</v>
      </c>
      <c r="G144" s="67">
        <f t="shared" si="37"/>
        <v>0</v>
      </c>
      <c r="H144" s="64">
        <f t="shared" si="34"/>
        <v>78</v>
      </c>
      <c r="I144" s="80">
        <v>0</v>
      </c>
      <c r="J144" s="80">
        <v>0</v>
      </c>
      <c r="K144" s="59">
        <f t="shared" si="38"/>
        <v>0</v>
      </c>
      <c r="L144" s="59">
        <v>0</v>
      </c>
      <c r="M144" s="59">
        <v>78</v>
      </c>
      <c r="N144" s="59">
        <f t="shared" si="39"/>
        <v>78</v>
      </c>
      <c r="O144" s="15">
        <f t="shared" si="40"/>
        <v>0</v>
      </c>
      <c r="P144" s="87">
        <f t="shared" si="41"/>
        <v>0</v>
      </c>
      <c r="Q144" s="110">
        <v>0</v>
      </c>
      <c r="R144" s="59">
        <v>0</v>
      </c>
      <c r="S144" s="14">
        <v>0</v>
      </c>
      <c r="T144" s="59">
        <v>0</v>
      </c>
      <c r="U144" s="15">
        <f t="shared" si="42"/>
        <v>0</v>
      </c>
      <c r="V144" s="14">
        <v>0</v>
      </c>
      <c r="W144" s="15">
        <f t="shared" si="43"/>
        <v>0</v>
      </c>
      <c r="X144" s="14">
        <v>0</v>
      </c>
      <c r="Y144" s="75">
        <v>0</v>
      </c>
      <c r="Z144" s="87">
        <f t="shared" si="44"/>
        <v>0</v>
      </c>
      <c r="AA144" s="14">
        <f t="shared" si="45"/>
        <v>0</v>
      </c>
      <c r="AB144" s="75">
        <v>0</v>
      </c>
      <c r="AC144" s="75">
        <v>0</v>
      </c>
      <c r="AD144" s="59">
        <f t="shared" si="46"/>
        <v>0</v>
      </c>
      <c r="AE144" s="73">
        <v>0</v>
      </c>
      <c r="AF144" s="73">
        <v>0</v>
      </c>
      <c r="AG144" s="15">
        <f t="shared" si="47"/>
        <v>0</v>
      </c>
      <c r="AH144" s="16">
        <f t="shared" si="48"/>
        <v>0</v>
      </c>
      <c r="AI144" s="17">
        <f t="shared" si="49"/>
        <v>78</v>
      </c>
      <c r="AJ144" s="12">
        <f>VLOOKUP(A144,'PreK Proxy - Sept. 2024'!$A$2:$I$674,9,FALSE)</f>
        <v>96</v>
      </c>
      <c r="AK144" s="18">
        <f t="shared" si="50"/>
        <v>0.8125</v>
      </c>
    </row>
    <row r="145" spans="1:37" x14ac:dyDescent="0.35">
      <c r="A145" s="11" t="s">
        <v>302</v>
      </c>
      <c r="B145" s="12" t="s">
        <v>303</v>
      </c>
      <c r="C145" s="54" t="s">
        <v>1415</v>
      </c>
      <c r="D145" s="54" t="s">
        <v>43</v>
      </c>
      <c r="E145" s="66">
        <f t="shared" si="35"/>
        <v>68</v>
      </c>
      <c r="F145" s="13">
        <f t="shared" si="36"/>
        <v>68</v>
      </c>
      <c r="G145" s="67">
        <f t="shared" si="37"/>
        <v>0</v>
      </c>
      <c r="H145" s="64">
        <f t="shared" si="34"/>
        <v>47</v>
      </c>
      <c r="I145" s="80">
        <v>0</v>
      </c>
      <c r="J145" s="80">
        <v>0</v>
      </c>
      <c r="K145" s="59">
        <f t="shared" si="38"/>
        <v>0</v>
      </c>
      <c r="L145" s="59">
        <v>0</v>
      </c>
      <c r="M145" s="59">
        <v>47</v>
      </c>
      <c r="N145" s="59">
        <f t="shared" si="39"/>
        <v>47</v>
      </c>
      <c r="O145" s="15">
        <f t="shared" si="40"/>
        <v>7</v>
      </c>
      <c r="P145" s="87">
        <f t="shared" si="41"/>
        <v>0</v>
      </c>
      <c r="Q145" s="110">
        <v>0</v>
      </c>
      <c r="R145" s="59">
        <v>0</v>
      </c>
      <c r="S145" s="14">
        <v>0</v>
      </c>
      <c r="T145" s="59">
        <v>0</v>
      </c>
      <c r="U145" s="15">
        <f t="shared" si="42"/>
        <v>0</v>
      </c>
      <c r="V145" s="14">
        <v>0</v>
      </c>
      <c r="W145" s="15">
        <f t="shared" si="43"/>
        <v>0</v>
      </c>
      <c r="X145" s="14">
        <v>21</v>
      </c>
      <c r="Y145" s="75">
        <v>7</v>
      </c>
      <c r="Z145" s="87">
        <f t="shared" si="44"/>
        <v>28</v>
      </c>
      <c r="AA145" s="14">
        <f t="shared" si="45"/>
        <v>0</v>
      </c>
      <c r="AB145" s="75">
        <v>0</v>
      </c>
      <c r="AC145" s="75">
        <v>0</v>
      </c>
      <c r="AD145" s="59">
        <f t="shared" si="46"/>
        <v>0</v>
      </c>
      <c r="AE145" s="73">
        <v>0</v>
      </c>
      <c r="AF145" s="73">
        <v>0</v>
      </c>
      <c r="AG145" s="15">
        <f t="shared" si="47"/>
        <v>0</v>
      </c>
      <c r="AH145" s="16">
        <f t="shared" si="48"/>
        <v>0</v>
      </c>
      <c r="AI145" s="17">
        <f t="shared" si="49"/>
        <v>68</v>
      </c>
      <c r="AJ145" s="12">
        <f>VLOOKUP(A145,'PreK Proxy - Sept. 2024'!$A$2:$I$674,9,FALSE)</f>
        <v>79</v>
      </c>
      <c r="AK145" s="18">
        <f t="shared" si="50"/>
        <v>0.86075949367088611</v>
      </c>
    </row>
    <row r="146" spans="1:37" x14ac:dyDescent="0.35">
      <c r="A146" s="11" t="s">
        <v>304</v>
      </c>
      <c r="B146" s="12" t="s">
        <v>305</v>
      </c>
      <c r="C146" s="54" t="s">
        <v>1415</v>
      </c>
      <c r="D146" s="54" t="s">
        <v>43</v>
      </c>
      <c r="E146" s="66">
        <f t="shared" si="35"/>
        <v>49</v>
      </c>
      <c r="F146" s="13">
        <f t="shared" si="36"/>
        <v>49</v>
      </c>
      <c r="G146" s="67">
        <f t="shared" si="37"/>
        <v>0</v>
      </c>
      <c r="H146" s="64">
        <f t="shared" si="34"/>
        <v>11</v>
      </c>
      <c r="I146" s="80">
        <v>0</v>
      </c>
      <c r="J146" s="80">
        <v>0</v>
      </c>
      <c r="K146" s="59">
        <f t="shared" si="38"/>
        <v>0</v>
      </c>
      <c r="L146" s="59">
        <v>0</v>
      </c>
      <c r="M146" s="59">
        <v>11</v>
      </c>
      <c r="N146" s="59">
        <f t="shared" si="39"/>
        <v>11</v>
      </c>
      <c r="O146" s="15">
        <f t="shared" si="40"/>
        <v>0</v>
      </c>
      <c r="P146" s="87">
        <f t="shared" si="41"/>
        <v>38</v>
      </c>
      <c r="Q146" s="110">
        <v>0</v>
      </c>
      <c r="R146" s="59">
        <v>38</v>
      </c>
      <c r="S146" s="14">
        <v>0</v>
      </c>
      <c r="T146" s="59">
        <v>0</v>
      </c>
      <c r="U146" s="15">
        <f t="shared" si="42"/>
        <v>0</v>
      </c>
      <c r="V146" s="14">
        <v>0</v>
      </c>
      <c r="W146" s="15">
        <f t="shared" si="43"/>
        <v>0</v>
      </c>
      <c r="X146" s="14">
        <v>0</v>
      </c>
      <c r="Y146" s="75">
        <v>0</v>
      </c>
      <c r="Z146" s="87">
        <f t="shared" si="44"/>
        <v>0</v>
      </c>
      <c r="AA146" s="14">
        <f t="shared" si="45"/>
        <v>0</v>
      </c>
      <c r="AB146" s="75">
        <v>0</v>
      </c>
      <c r="AC146" s="75">
        <v>0</v>
      </c>
      <c r="AD146" s="59">
        <f t="shared" si="46"/>
        <v>0</v>
      </c>
      <c r="AE146" s="73">
        <v>0</v>
      </c>
      <c r="AF146" s="73">
        <v>0</v>
      </c>
      <c r="AG146" s="15">
        <f t="shared" si="47"/>
        <v>0</v>
      </c>
      <c r="AH146" s="16">
        <f t="shared" si="48"/>
        <v>0</v>
      </c>
      <c r="AI146" s="17">
        <f t="shared" si="49"/>
        <v>49</v>
      </c>
      <c r="AJ146" s="12">
        <f>VLOOKUP(A146,'PreK Proxy - Sept. 2024'!$A$2:$I$674,9,FALSE)</f>
        <v>117</v>
      </c>
      <c r="AK146" s="18">
        <f t="shared" si="50"/>
        <v>0.41880341880341881</v>
      </c>
    </row>
    <row r="147" spans="1:37" x14ac:dyDescent="0.35">
      <c r="A147" s="11" t="s">
        <v>306</v>
      </c>
      <c r="B147" s="12" t="s">
        <v>307</v>
      </c>
      <c r="C147" s="54" t="s">
        <v>1415</v>
      </c>
      <c r="D147" s="54" t="s">
        <v>43</v>
      </c>
      <c r="E147" s="66">
        <f t="shared" si="35"/>
        <v>71</v>
      </c>
      <c r="F147" s="13">
        <f t="shared" si="36"/>
        <v>71</v>
      </c>
      <c r="G147" s="67">
        <f t="shared" si="37"/>
        <v>0</v>
      </c>
      <c r="H147" s="64">
        <f t="shared" si="34"/>
        <v>71</v>
      </c>
      <c r="I147" s="80">
        <v>0</v>
      </c>
      <c r="J147" s="80">
        <v>0</v>
      </c>
      <c r="K147" s="59">
        <f t="shared" si="38"/>
        <v>0</v>
      </c>
      <c r="L147" s="59">
        <v>0</v>
      </c>
      <c r="M147" s="59">
        <v>71</v>
      </c>
      <c r="N147" s="59">
        <f t="shared" si="39"/>
        <v>71</v>
      </c>
      <c r="O147" s="15">
        <f t="shared" si="40"/>
        <v>0</v>
      </c>
      <c r="P147" s="87">
        <f t="shared" si="41"/>
        <v>0</v>
      </c>
      <c r="Q147" s="110">
        <v>0</v>
      </c>
      <c r="R147" s="59">
        <v>0</v>
      </c>
      <c r="S147" s="14">
        <v>0</v>
      </c>
      <c r="T147" s="59">
        <v>0</v>
      </c>
      <c r="U147" s="15">
        <f t="shared" si="42"/>
        <v>0</v>
      </c>
      <c r="V147" s="14">
        <v>0</v>
      </c>
      <c r="W147" s="15">
        <f t="shared" si="43"/>
        <v>0</v>
      </c>
      <c r="X147" s="14">
        <v>0</v>
      </c>
      <c r="Y147" s="75">
        <v>0</v>
      </c>
      <c r="Z147" s="87">
        <f t="shared" si="44"/>
        <v>0</v>
      </c>
      <c r="AA147" s="14">
        <f t="shared" si="45"/>
        <v>0</v>
      </c>
      <c r="AB147" s="75">
        <v>0</v>
      </c>
      <c r="AC147" s="75">
        <v>0</v>
      </c>
      <c r="AD147" s="59">
        <f t="shared" si="46"/>
        <v>0</v>
      </c>
      <c r="AE147" s="73">
        <v>0</v>
      </c>
      <c r="AF147" s="73">
        <v>0</v>
      </c>
      <c r="AG147" s="15">
        <f t="shared" si="47"/>
        <v>0</v>
      </c>
      <c r="AH147" s="16">
        <f t="shared" si="48"/>
        <v>0</v>
      </c>
      <c r="AI147" s="17">
        <f t="shared" si="49"/>
        <v>71</v>
      </c>
      <c r="AJ147" s="12">
        <f>VLOOKUP(A147,'PreK Proxy - Sept. 2024'!$A$2:$I$674,9,FALSE)</f>
        <v>113</v>
      </c>
      <c r="AK147" s="18">
        <f t="shared" si="50"/>
        <v>0.62831858407079644</v>
      </c>
    </row>
    <row r="148" spans="1:37" x14ac:dyDescent="0.35">
      <c r="A148" s="11" t="s">
        <v>308</v>
      </c>
      <c r="B148" s="12" t="s">
        <v>309</v>
      </c>
      <c r="C148" s="54" t="s">
        <v>1415</v>
      </c>
      <c r="D148" s="54" t="s">
        <v>43</v>
      </c>
      <c r="E148" s="66">
        <f t="shared" si="35"/>
        <v>136</v>
      </c>
      <c r="F148" s="13">
        <f t="shared" si="36"/>
        <v>134</v>
      </c>
      <c r="G148" s="67">
        <f t="shared" si="37"/>
        <v>2</v>
      </c>
      <c r="H148" s="64">
        <f t="shared" si="34"/>
        <v>116</v>
      </c>
      <c r="I148" s="80">
        <v>0</v>
      </c>
      <c r="J148" s="80">
        <v>1</v>
      </c>
      <c r="K148" s="59">
        <f t="shared" si="38"/>
        <v>1</v>
      </c>
      <c r="L148" s="59">
        <v>0</v>
      </c>
      <c r="M148" s="59">
        <v>115</v>
      </c>
      <c r="N148" s="59">
        <f t="shared" si="39"/>
        <v>115</v>
      </c>
      <c r="O148" s="15">
        <f t="shared" si="40"/>
        <v>0</v>
      </c>
      <c r="P148" s="87">
        <f t="shared" si="41"/>
        <v>20</v>
      </c>
      <c r="Q148" s="110">
        <v>1</v>
      </c>
      <c r="R148" s="59">
        <v>19</v>
      </c>
      <c r="S148" s="14">
        <v>0</v>
      </c>
      <c r="T148" s="59">
        <v>0</v>
      </c>
      <c r="U148" s="15">
        <f t="shared" si="42"/>
        <v>0</v>
      </c>
      <c r="V148" s="14">
        <v>0</v>
      </c>
      <c r="W148" s="15">
        <f t="shared" si="43"/>
        <v>0</v>
      </c>
      <c r="X148" s="14">
        <v>0</v>
      </c>
      <c r="Y148" s="75">
        <v>0</v>
      </c>
      <c r="Z148" s="87">
        <f t="shared" si="44"/>
        <v>0</v>
      </c>
      <c r="AA148" s="14">
        <f t="shared" si="45"/>
        <v>0</v>
      </c>
      <c r="AB148" s="75">
        <v>0</v>
      </c>
      <c r="AC148" s="75">
        <v>0</v>
      </c>
      <c r="AD148" s="59">
        <f t="shared" si="46"/>
        <v>0</v>
      </c>
      <c r="AE148" s="73">
        <v>0</v>
      </c>
      <c r="AF148" s="73">
        <v>0</v>
      </c>
      <c r="AG148" s="15">
        <f t="shared" si="47"/>
        <v>0</v>
      </c>
      <c r="AH148" s="16">
        <f t="shared" si="48"/>
        <v>2</v>
      </c>
      <c r="AI148" s="17">
        <f t="shared" si="49"/>
        <v>134</v>
      </c>
      <c r="AJ148" s="12">
        <f>VLOOKUP(A148,'PreK Proxy - Sept. 2024'!$A$2:$I$674,9,FALSE)</f>
        <v>168</v>
      </c>
      <c r="AK148" s="18">
        <f t="shared" si="50"/>
        <v>0.80952380952380953</v>
      </c>
    </row>
    <row r="149" spans="1:37" x14ac:dyDescent="0.35">
      <c r="A149" s="11" t="s">
        <v>310</v>
      </c>
      <c r="B149" s="12" t="s">
        <v>311</v>
      </c>
      <c r="C149" s="54" t="s">
        <v>1415</v>
      </c>
      <c r="D149" s="54" t="s">
        <v>43</v>
      </c>
      <c r="E149" s="66">
        <f t="shared" si="35"/>
        <v>148</v>
      </c>
      <c r="F149" s="13">
        <f t="shared" si="36"/>
        <v>36</v>
      </c>
      <c r="G149" s="67">
        <f t="shared" si="37"/>
        <v>112</v>
      </c>
      <c r="H149" s="64">
        <f t="shared" si="34"/>
        <v>148</v>
      </c>
      <c r="I149" s="80">
        <v>0</v>
      </c>
      <c r="J149" s="80">
        <v>112</v>
      </c>
      <c r="K149" s="59">
        <f t="shared" si="38"/>
        <v>112</v>
      </c>
      <c r="L149" s="59">
        <v>0</v>
      </c>
      <c r="M149" s="59">
        <v>36</v>
      </c>
      <c r="N149" s="59">
        <f t="shared" si="39"/>
        <v>36</v>
      </c>
      <c r="O149" s="15">
        <f t="shared" si="40"/>
        <v>0</v>
      </c>
      <c r="P149" s="87">
        <f t="shared" si="41"/>
        <v>0</v>
      </c>
      <c r="Q149" s="110">
        <v>0</v>
      </c>
      <c r="R149" s="59">
        <v>0</v>
      </c>
      <c r="S149" s="14">
        <v>0</v>
      </c>
      <c r="T149" s="59">
        <v>0</v>
      </c>
      <c r="U149" s="15">
        <f t="shared" si="42"/>
        <v>0</v>
      </c>
      <c r="V149" s="14">
        <v>0</v>
      </c>
      <c r="W149" s="15">
        <f t="shared" si="43"/>
        <v>0</v>
      </c>
      <c r="X149" s="14">
        <v>0</v>
      </c>
      <c r="Y149" s="75">
        <v>0</v>
      </c>
      <c r="Z149" s="87">
        <f t="shared" si="44"/>
        <v>0</v>
      </c>
      <c r="AA149" s="14">
        <f t="shared" si="45"/>
        <v>0</v>
      </c>
      <c r="AB149" s="75">
        <v>0</v>
      </c>
      <c r="AC149" s="75">
        <v>0</v>
      </c>
      <c r="AD149" s="59">
        <f t="shared" si="46"/>
        <v>0</v>
      </c>
      <c r="AE149" s="73">
        <v>0</v>
      </c>
      <c r="AF149" s="73">
        <v>0</v>
      </c>
      <c r="AG149" s="15">
        <f t="shared" si="47"/>
        <v>0</v>
      </c>
      <c r="AH149" s="16">
        <f t="shared" si="48"/>
        <v>112</v>
      </c>
      <c r="AI149" s="17">
        <f t="shared" si="49"/>
        <v>36</v>
      </c>
      <c r="AJ149" s="12">
        <f>VLOOKUP(A149,'PreK Proxy - Sept. 2024'!$A$2:$I$674,9,FALSE)</f>
        <v>247</v>
      </c>
      <c r="AK149" s="18">
        <f t="shared" si="50"/>
        <v>0.59919028340080971</v>
      </c>
    </row>
    <row r="150" spans="1:37" x14ac:dyDescent="0.35">
      <c r="A150" s="11" t="s">
        <v>312</v>
      </c>
      <c r="B150" s="12" t="s">
        <v>313</v>
      </c>
      <c r="C150" s="54" t="s">
        <v>1415</v>
      </c>
      <c r="D150" s="54" t="s">
        <v>43</v>
      </c>
      <c r="E150" s="66">
        <f t="shared" si="35"/>
        <v>167</v>
      </c>
      <c r="F150" s="13">
        <f t="shared" si="36"/>
        <v>102</v>
      </c>
      <c r="G150" s="67">
        <f t="shared" si="37"/>
        <v>65</v>
      </c>
      <c r="H150" s="64">
        <f t="shared" si="34"/>
        <v>155</v>
      </c>
      <c r="I150" s="80">
        <v>0</v>
      </c>
      <c r="J150" s="80">
        <v>64</v>
      </c>
      <c r="K150" s="59">
        <f t="shared" si="38"/>
        <v>64</v>
      </c>
      <c r="L150" s="59">
        <v>0</v>
      </c>
      <c r="M150" s="59">
        <v>91</v>
      </c>
      <c r="N150" s="59">
        <f t="shared" si="39"/>
        <v>91</v>
      </c>
      <c r="O150" s="15">
        <f t="shared" si="40"/>
        <v>0</v>
      </c>
      <c r="P150" s="87">
        <f t="shared" si="41"/>
        <v>12</v>
      </c>
      <c r="Q150" s="110">
        <v>1</v>
      </c>
      <c r="R150" s="59">
        <v>11</v>
      </c>
      <c r="S150" s="14">
        <v>0</v>
      </c>
      <c r="T150" s="59">
        <v>0</v>
      </c>
      <c r="U150" s="15">
        <f t="shared" si="42"/>
        <v>0</v>
      </c>
      <c r="V150" s="14">
        <v>0</v>
      </c>
      <c r="W150" s="15">
        <f t="shared" si="43"/>
        <v>0</v>
      </c>
      <c r="X150" s="14">
        <v>0</v>
      </c>
      <c r="Y150" s="75">
        <v>0</v>
      </c>
      <c r="Z150" s="87">
        <f t="shared" si="44"/>
        <v>0</v>
      </c>
      <c r="AA150" s="14">
        <f t="shared" si="45"/>
        <v>0</v>
      </c>
      <c r="AB150" s="75">
        <v>0</v>
      </c>
      <c r="AC150" s="75">
        <v>0</v>
      </c>
      <c r="AD150" s="59">
        <f t="shared" si="46"/>
        <v>0</v>
      </c>
      <c r="AE150" s="73">
        <v>0</v>
      </c>
      <c r="AF150" s="73">
        <v>0</v>
      </c>
      <c r="AG150" s="15">
        <f t="shared" si="47"/>
        <v>0</v>
      </c>
      <c r="AH150" s="16">
        <f t="shared" si="48"/>
        <v>65</v>
      </c>
      <c r="AI150" s="17">
        <f t="shared" si="49"/>
        <v>102</v>
      </c>
      <c r="AJ150" s="12">
        <f>VLOOKUP(A150,'PreK Proxy - Sept. 2024'!$A$2:$I$674,9,FALSE)</f>
        <v>265</v>
      </c>
      <c r="AK150" s="18">
        <f t="shared" si="50"/>
        <v>0.63018867924528299</v>
      </c>
    </row>
    <row r="151" spans="1:37" x14ac:dyDescent="0.35">
      <c r="A151" s="11" t="s">
        <v>314</v>
      </c>
      <c r="B151" s="12" t="s">
        <v>315</v>
      </c>
      <c r="C151" s="54" t="s">
        <v>1415</v>
      </c>
      <c r="D151" s="54" t="s">
        <v>43</v>
      </c>
      <c r="E151" s="66">
        <f t="shared" si="35"/>
        <v>51</v>
      </c>
      <c r="F151" s="13">
        <f t="shared" si="36"/>
        <v>41</v>
      </c>
      <c r="G151" s="67">
        <f t="shared" si="37"/>
        <v>10</v>
      </c>
      <c r="H151" s="64">
        <f t="shared" si="34"/>
        <v>51</v>
      </c>
      <c r="I151" s="80">
        <v>0</v>
      </c>
      <c r="J151" s="80">
        <v>10</v>
      </c>
      <c r="K151" s="59">
        <f t="shared" si="38"/>
        <v>10</v>
      </c>
      <c r="L151" s="59">
        <v>0</v>
      </c>
      <c r="M151" s="59">
        <v>41</v>
      </c>
      <c r="N151" s="59">
        <f t="shared" si="39"/>
        <v>41</v>
      </c>
      <c r="O151" s="15">
        <f t="shared" si="40"/>
        <v>0</v>
      </c>
      <c r="P151" s="87">
        <f t="shared" si="41"/>
        <v>0</v>
      </c>
      <c r="Q151" s="110">
        <v>0</v>
      </c>
      <c r="R151" s="59">
        <v>0</v>
      </c>
      <c r="S151" s="14">
        <v>0</v>
      </c>
      <c r="T151" s="59">
        <v>0</v>
      </c>
      <c r="U151" s="15">
        <f t="shared" si="42"/>
        <v>0</v>
      </c>
      <c r="V151" s="14">
        <v>0</v>
      </c>
      <c r="W151" s="15">
        <f t="shared" si="43"/>
        <v>0</v>
      </c>
      <c r="X151" s="14">
        <v>0</v>
      </c>
      <c r="Y151" s="75">
        <v>0</v>
      </c>
      <c r="Z151" s="87">
        <f t="shared" si="44"/>
        <v>0</v>
      </c>
      <c r="AA151" s="14">
        <f t="shared" si="45"/>
        <v>0</v>
      </c>
      <c r="AB151" s="75">
        <v>0</v>
      </c>
      <c r="AC151" s="75">
        <v>0</v>
      </c>
      <c r="AD151" s="59">
        <f t="shared" si="46"/>
        <v>0</v>
      </c>
      <c r="AE151" s="73">
        <v>0</v>
      </c>
      <c r="AF151" s="73">
        <v>0</v>
      </c>
      <c r="AG151" s="15">
        <f t="shared" si="47"/>
        <v>0</v>
      </c>
      <c r="AH151" s="16">
        <f t="shared" si="48"/>
        <v>10</v>
      </c>
      <c r="AI151" s="17">
        <f t="shared" si="49"/>
        <v>41</v>
      </c>
      <c r="AJ151" s="12">
        <f>VLOOKUP(A151,'PreK Proxy - Sept. 2024'!$A$2:$I$674,9,FALSE)</f>
        <v>41</v>
      </c>
      <c r="AK151" s="18">
        <f t="shared" si="50"/>
        <v>1</v>
      </c>
    </row>
    <row r="152" spans="1:37" x14ac:dyDescent="0.35">
      <c r="A152" s="11" t="s">
        <v>316</v>
      </c>
      <c r="B152" s="12" t="s">
        <v>317</v>
      </c>
      <c r="C152" s="54" t="s">
        <v>1415</v>
      </c>
      <c r="D152" s="54" t="s">
        <v>43</v>
      </c>
      <c r="E152" s="66">
        <f t="shared" si="35"/>
        <v>149</v>
      </c>
      <c r="F152" s="13">
        <f t="shared" si="36"/>
        <v>149</v>
      </c>
      <c r="G152" s="67">
        <f t="shared" si="37"/>
        <v>0</v>
      </c>
      <c r="H152" s="64">
        <f t="shared" si="34"/>
        <v>149</v>
      </c>
      <c r="I152" s="80">
        <v>0</v>
      </c>
      <c r="J152" s="80">
        <v>0</v>
      </c>
      <c r="K152" s="59">
        <f t="shared" si="38"/>
        <v>0</v>
      </c>
      <c r="L152" s="59">
        <v>42</v>
      </c>
      <c r="M152" s="59">
        <v>107</v>
      </c>
      <c r="N152" s="59">
        <f t="shared" si="39"/>
        <v>149</v>
      </c>
      <c r="O152" s="15">
        <f t="shared" si="40"/>
        <v>0</v>
      </c>
      <c r="P152" s="87">
        <f t="shared" si="41"/>
        <v>0</v>
      </c>
      <c r="Q152" s="110">
        <v>0</v>
      </c>
      <c r="R152" s="59">
        <v>0</v>
      </c>
      <c r="S152" s="14">
        <v>0</v>
      </c>
      <c r="T152" s="59">
        <v>0</v>
      </c>
      <c r="U152" s="15">
        <f t="shared" si="42"/>
        <v>0</v>
      </c>
      <c r="V152" s="14">
        <v>0</v>
      </c>
      <c r="W152" s="15">
        <f t="shared" si="43"/>
        <v>0</v>
      </c>
      <c r="X152" s="14">
        <v>0</v>
      </c>
      <c r="Y152" s="75">
        <v>0</v>
      </c>
      <c r="Z152" s="87">
        <f t="shared" si="44"/>
        <v>0</v>
      </c>
      <c r="AA152" s="14">
        <f t="shared" si="45"/>
        <v>0</v>
      </c>
      <c r="AB152" s="75">
        <v>0</v>
      </c>
      <c r="AC152" s="75">
        <v>0</v>
      </c>
      <c r="AD152" s="59">
        <f t="shared" si="46"/>
        <v>0</v>
      </c>
      <c r="AE152" s="73">
        <v>0</v>
      </c>
      <c r="AF152" s="73">
        <v>0</v>
      </c>
      <c r="AG152" s="15">
        <f t="shared" si="47"/>
        <v>0</v>
      </c>
      <c r="AH152" s="16">
        <f t="shared" si="48"/>
        <v>0</v>
      </c>
      <c r="AI152" s="17">
        <f t="shared" si="49"/>
        <v>107</v>
      </c>
      <c r="AJ152" s="12">
        <f>VLOOKUP(A152,'PreK Proxy - Sept. 2024'!$A$2:$I$674,9,FALSE)</f>
        <v>179</v>
      </c>
      <c r="AK152" s="18">
        <f t="shared" si="50"/>
        <v>0.5977653631284916</v>
      </c>
    </row>
    <row r="153" spans="1:37" x14ac:dyDescent="0.35">
      <c r="A153" s="11" t="s">
        <v>318</v>
      </c>
      <c r="B153" s="12" t="s">
        <v>319</v>
      </c>
      <c r="C153" s="54" t="s">
        <v>1415</v>
      </c>
      <c r="D153" s="54" t="s">
        <v>43</v>
      </c>
      <c r="E153" s="66">
        <f t="shared" si="35"/>
        <v>197</v>
      </c>
      <c r="F153" s="13">
        <f t="shared" si="36"/>
        <v>161</v>
      </c>
      <c r="G153" s="67">
        <f t="shared" si="37"/>
        <v>36</v>
      </c>
      <c r="H153" s="64">
        <f t="shared" si="34"/>
        <v>81</v>
      </c>
      <c r="I153" s="80">
        <v>0</v>
      </c>
      <c r="J153" s="80">
        <v>36</v>
      </c>
      <c r="K153" s="59">
        <f t="shared" si="38"/>
        <v>36</v>
      </c>
      <c r="L153" s="59">
        <v>0</v>
      </c>
      <c r="M153" s="59">
        <v>45</v>
      </c>
      <c r="N153" s="59">
        <f t="shared" si="39"/>
        <v>45</v>
      </c>
      <c r="O153" s="15">
        <f t="shared" si="40"/>
        <v>0</v>
      </c>
      <c r="P153" s="87">
        <f t="shared" si="41"/>
        <v>116</v>
      </c>
      <c r="Q153" s="110">
        <v>0</v>
      </c>
      <c r="R153" s="59">
        <v>116</v>
      </c>
      <c r="S153" s="14">
        <v>0</v>
      </c>
      <c r="T153" s="59">
        <v>0</v>
      </c>
      <c r="U153" s="15">
        <f t="shared" si="42"/>
        <v>0</v>
      </c>
      <c r="V153" s="14">
        <v>0</v>
      </c>
      <c r="W153" s="15">
        <f t="shared" si="43"/>
        <v>0</v>
      </c>
      <c r="X153" s="14">
        <v>0</v>
      </c>
      <c r="Y153" s="75">
        <v>0</v>
      </c>
      <c r="Z153" s="87">
        <f t="shared" si="44"/>
        <v>0</v>
      </c>
      <c r="AA153" s="14">
        <f t="shared" si="45"/>
        <v>0</v>
      </c>
      <c r="AB153" s="75">
        <v>0</v>
      </c>
      <c r="AC153" s="75">
        <v>0</v>
      </c>
      <c r="AD153" s="59">
        <f t="shared" si="46"/>
        <v>0</v>
      </c>
      <c r="AE153" s="73">
        <v>0</v>
      </c>
      <c r="AF153" s="73">
        <v>0</v>
      </c>
      <c r="AG153" s="15">
        <f t="shared" si="47"/>
        <v>0</v>
      </c>
      <c r="AH153" s="16">
        <f t="shared" si="48"/>
        <v>36</v>
      </c>
      <c r="AI153" s="17">
        <f t="shared" si="49"/>
        <v>161</v>
      </c>
      <c r="AJ153" s="12">
        <f>VLOOKUP(A153,'PreK Proxy - Sept. 2024'!$A$2:$I$674,9,FALSE)</f>
        <v>350</v>
      </c>
      <c r="AK153" s="18">
        <f t="shared" si="50"/>
        <v>0.56285714285714283</v>
      </c>
    </row>
    <row r="154" spans="1:37" x14ac:dyDescent="0.35">
      <c r="A154" s="11" t="s">
        <v>320</v>
      </c>
      <c r="B154" s="12" t="s">
        <v>321</v>
      </c>
      <c r="C154" s="54" t="s">
        <v>1415</v>
      </c>
      <c r="D154" s="54" t="s">
        <v>43</v>
      </c>
      <c r="E154" s="66">
        <f t="shared" si="35"/>
        <v>60</v>
      </c>
      <c r="F154" s="13">
        <f t="shared" si="36"/>
        <v>31</v>
      </c>
      <c r="G154" s="67">
        <f t="shared" si="37"/>
        <v>29</v>
      </c>
      <c r="H154" s="64">
        <f t="shared" si="34"/>
        <v>60</v>
      </c>
      <c r="I154" s="80">
        <v>0</v>
      </c>
      <c r="J154" s="80">
        <v>29</v>
      </c>
      <c r="K154" s="59">
        <f t="shared" si="38"/>
        <v>29</v>
      </c>
      <c r="L154" s="59">
        <v>0</v>
      </c>
      <c r="M154" s="59">
        <v>31</v>
      </c>
      <c r="N154" s="59">
        <f t="shared" si="39"/>
        <v>31</v>
      </c>
      <c r="O154" s="15">
        <f t="shared" si="40"/>
        <v>0</v>
      </c>
      <c r="P154" s="87">
        <f t="shared" si="41"/>
        <v>0</v>
      </c>
      <c r="Q154" s="110">
        <v>0</v>
      </c>
      <c r="R154" s="59">
        <v>0</v>
      </c>
      <c r="S154" s="14">
        <v>0</v>
      </c>
      <c r="T154" s="59">
        <v>0</v>
      </c>
      <c r="U154" s="15">
        <f t="shared" si="42"/>
        <v>0</v>
      </c>
      <c r="V154" s="14">
        <v>0</v>
      </c>
      <c r="W154" s="15">
        <f t="shared" si="43"/>
        <v>0</v>
      </c>
      <c r="X154" s="14">
        <v>0</v>
      </c>
      <c r="Y154" s="75">
        <v>0</v>
      </c>
      <c r="Z154" s="87">
        <f t="shared" si="44"/>
        <v>0</v>
      </c>
      <c r="AA154" s="14">
        <f t="shared" si="45"/>
        <v>0</v>
      </c>
      <c r="AB154" s="75">
        <v>0</v>
      </c>
      <c r="AC154" s="75">
        <v>0</v>
      </c>
      <c r="AD154" s="59">
        <f t="shared" si="46"/>
        <v>0</v>
      </c>
      <c r="AE154" s="73">
        <v>0</v>
      </c>
      <c r="AF154" s="73">
        <v>0</v>
      </c>
      <c r="AG154" s="15">
        <f t="shared" si="47"/>
        <v>0</v>
      </c>
      <c r="AH154" s="16">
        <f t="shared" si="48"/>
        <v>29</v>
      </c>
      <c r="AI154" s="17">
        <f t="shared" si="49"/>
        <v>31</v>
      </c>
      <c r="AJ154" s="12">
        <f>VLOOKUP(A154,'PreK Proxy - Sept. 2024'!$A$2:$I$674,9,FALSE)</f>
        <v>73</v>
      </c>
      <c r="AK154" s="18">
        <f t="shared" si="50"/>
        <v>0.82191780821917804</v>
      </c>
    </row>
    <row r="155" spans="1:37" x14ac:dyDescent="0.35">
      <c r="A155" s="11" t="s">
        <v>322</v>
      </c>
      <c r="B155" s="12" t="s">
        <v>323</v>
      </c>
      <c r="C155" s="54" t="s">
        <v>1415</v>
      </c>
      <c r="D155" s="54" t="s">
        <v>43</v>
      </c>
      <c r="E155" s="66">
        <f t="shared" si="35"/>
        <v>33</v>
      </c>
      <c r="F155" s="13">
        <f t="shared" si="36"/>
        <v>33</v>
      </c>
      <c r="G155" s="67">
        <f t="shared" si="37"/>
        <v>0</v>
      </c>
      <c r="H155" s="64">
        <f t="shared" si="34"/>
        <v>23</v>
      </c>
      <c r="I155" s="80">
        <v>0</v>
      </c>
      <c r="J155" s="80">
        <v>0</v>
      </c>
      <c r="K155" s="59">
        <f t="shared" si="38"/>
        <v>0</v>
      </c>
      <c r="L155" s="59">
        <v>0</v>
      </c>
      <c r="M155" s="59">
        <v>23</v>
      </c>
      <c r="N155" s="59">
        <f t="shared" si="39"/>
        <v>23</v>
      </c>
      <c r="O155" s="15">
        <f t="shared" si="40"/>
        <v>23</v>
      </c>
      <c r="P155" s="87">
        <f t="shared" si="41"/>
        <v>0</v>
      </c>
      <c r="Q155" s="110">
        <v>0</v>
      </c>
      <c r="R155" s="59">
        <v>0</v>
      </c>
      <c r="S155" s="14">
        <v>0</v>
      </c>
      <c r="T155" s="59">
        <v>0</v>
      </c>
      <c r="U155" s="15">
        <f t="shared" si="42"/>
        <v>0</v>
      </c>
      <c r="V155" s="14">
        <v>0</v>
      </c>
      <c r="W155" s="15">
        <f t="shared" si="43"/>
        <v>0</v>
      </c>
      <c r="X155" s="14">
        <v>10</v>
      </c>
      <c r="Y155" s="75">
        <v>23</v>
      </c>
      <c r="Z155" s="87">
        <f t="shared" si="44"/>
        <v>33</v>
      </c>
      <c r="AA155" s="14">
        <f t="shared" si="45"/>
        <v>0</v>
      </c>
      <c r="AB155" s="75">
        <v>0</v>
      </c>
      <c r="AC155" s="75">
        <v>0</v>
      </c>
      <c r="AD155" s="59">
        <f t="shared" si="46"/>
        <v>0</v>
      </c>
      <c r="AE155" s="73">
        <v>0</v>
      </c>
      <c r="AF155" s="73">
        <v>0</v>
      </c>
      <c r="AG155" s="15">
        <f t="shared" si="47"/>
        <v>0</v>
      </c>
      <c r="AH155" s="16">
        <f t="shared" si="48"/>
        <v>0</v>
      </c>
      <c r="AI155" s="17">
        <f t="shared" si="49"/>
        <v>33</v>
      </c>
      <c r="AJ155" s="12">
        <f>VLOOKUP(A155,'PreK Proxy - Sept. 2024'!$A$2:$I$674,9,FALSE)</f>
        <v>36</v>
      </c>
      <c r="AK155" s="18">
        <f t="shared" si="50"/>
        <v>0.91666666666666663</v>
      </c>
    </row>
    <row r="156" spans="1:37" x14ac:dyDescent="0.35">
      <c r="A156" s="11" t="s">
        <v>324</v>
      </c>
      <c r="B156" s="12" t="s">
        <v>325</v>
      </c>
      <c r="C156" s="54" t="s">
        <v>1415</v>
      </c>
      <c r="D156" s="54" t="s">
        <v>43</v>
      </c>
      <c r="E156" s="66">
        <f t="shared" si="35"/>
        <v>229</v>
      </c>
      <c r="F156" s="13">
        <f t="shared" si="36"/>
        <v>223</v>
      </c>
      <c r="G156" s="67">
        <f t="shared" si="37"/>
        <v>6</v>
      </c>
      <c r="H156" s="64">
        <f t="shared" si="34"/>
        <v>154</v>
      </c>
      <c r="I156" s="80">
        <v>0</v>
      </c>
      <c r="J156" s="80">
        <v>6</v>
      </c>
      <c r="K156" s="59">
        <f t="shared" si="38"/>
        <v>6</v>
      </c>
      <c r="L156" s="59">
        <v>0</v>
      </c>
      <c r="M156" s="59">
        <v>148</v>
      </c>
      <c r="N156" s="59">
        <f t="shared" si="39"/>
        <v>148</v>
      </c>
      <c r="O156" s="15">
        <f t="shared" si="40"/>
        <v>0</v>
      </c>
      <c r="P156" s="87">
        <f t="shared" si="41"/>
        <v>75</v>
      </c>
      <c r="Q156" s="110">
        <v>0</v>
      </c>
      <c r="R156" s="59">
        <v>75</v>
      </c>
      <c r="S156" s="14">
        <v>0</v>
      </c>
      <c r="T156" s="59">
        <v>0</v>
      </c>
      <c r="U156" s="15">
        <f t="shared" si="42"/>
        <v>0</v>
      </c>
      <c r="V156" s="14">
        <v>0</v>
      </c>
      <c r="W156" s="15">
        <f t="shared" si="43"/>
        <v>0</v>
      </c>
      <c r="X156" s="14">
        <v>0</v>
      </c>
      <c r="Y156" s="75">
        <v>0</v>
      </c>
      <c r="Z156" s="87">
        <f t="shared" si="44"/>
        <v>0</v>
      </c>
      <c r="AA156" s="14">
        <f t="shared" si="45"/>
        <v>0</v>
      </c>
      <c r="AB156" s="75">
        <v>0</v>
      </c>
      <c r="AC156" s="75">
        <v>0</v>
      </c>
      <c r="AD156" s="59">
        <f t="shared" si="46"/>
        <v>0</v>
      </c>
      <c r="AE156" s="73">
        <v>0</v>
      </c>
      <c r="AF156" s="73">
        <v>0</v>
      </c>
      <c r="AG156" s="15">
        <f t="shared" si="47"/>
        <v>0</v>
      </c>
      <c r="AH156" s="16">
        <f t="shared" si="48"/>
        <v>6</v>
      </c>
      <c r="AI156" s="17">
        <f t="shared" si="49"/>
        <v>223</v>
      </c>
      <c r="AJ156" s="12">
        <f>VLOOKUP(A156,'PreK Proxy - Sept. 2024'!$A$2:$I$674,9,FALSE)</f>
        <v>306</v>
      </c>
      <c r="AK156" s="18">
        <f t="shared" si="50"/>
        <v>0.74836601307189543</v>
      </c>
    </row>
    <row r="157" spans="1:37" x14ac:dyDescent="0.35">
      <c r="A157" s="11" t="s">
        <v>326</v>
      </c>
      <c r="B157" s="12" t="s">
        <v>327</v>
      </c>
      <c r="C157" s="54" t="s">
        <v>1415</v>
      </c>
      <c r="D157" s="54" t="s">
        <v>43</v>
      </c>
      <c r="E157" s="66">
        <f t="shared" si="35"/>
        <v>77</v>
      </c>
      <c r="F157" s="13">
        <f t="shared" si="36"/>
        <v>0</v>
      </c>
      <c r="G157" s="67">
        <f t="shared" si="37"/>
        <v>77</v>
      </c>
      <c r="H157" s="64">
        <f t="shared" si="34"/>
        <v>77</v>
      </c>
      <c r="I157" s="80">
        <v>0</v>
      </c>
      <c r="J157" s="80">
        <v>77</v>
      </c>
      <c r="K157" s="59">
        <f t="shared" si="38"/>
        <v>77</v>
      </c>
      <c r="L157" s="59">
        <v>0</v>
      </c>
      <c r="M157" s="59">
        <v>0</v>
      </c>
      <c r="N157" s="59">
        <f t="shared" si="39"/>
        <v>0</v>
      </c>
      <c r="O157" s="15">
        <f t="shared" si="40"/>
        <v>0</v>
      </c>
      <c r="P157" s="87">
        <f t="shared" si="41"/>
        <v>0</v>
      </c>
      <c r="Q157" s="110">
        <v>0</v>
      </c>
      <c r="R157" s="59">
        <v>0</v>
      </c>
      <c r="S157" s="14">
        <v>0</v>
      </c>
      <c r="T157" s="59">
        <v>0</v>
      </c>
      <c r="U157" s="15">
        <f t="shared" si="42"/>
        <v>0</v>
      </c>
      <c r="V157" s="14">
        <v>0</v>
      </c>
      <c r="W157" s="15">
        <f t="shared" si="43"/>
        <v>0</v>
      </c>
      <c r="X157" s="14">
        <v>0</v>
      </c>
      <c r="Y157" s="75">
        <v>0</v>
      </c>
      <c r="Z157" s="87">
        <f t="shared" si="44"/>
        <v>0</v>
      </c>
      <c r="AA157" s="14">
        <f t="shared" si="45"/>
        <v>0</v>
      </c>
      <c r="AB157" s="75">
        <v>0</v>
      </c>
      <c r="AC157" s="75">
        <v>0</v>
      </c>
      <c r="AD157" s="59">
        <f t="shared" si="46"/>
        <v>0</v>
      </c>
      <c r="AE157" s="73">
        <v>0</v>
      </c>
      <c r="AF157" s="73">
        <v>0</v>
      </c>
      <c r="AG157" s="15">
        <f t="shared" si="47"/>
        <v>0</v>
      </c>
      <c r="AH157" s="16">
        <f t="shared" si="48"/>
        <v>77</v>
      </c>
      <c r="AI157" s="17">
        <f t="shared" si="49"/>
        <v>0</v>
      </c>
      <c r="AJ157" s="12">
        <f>VLOOKUP(A157,'PreK Proxy - Sept. 2024'!$A$2:$I$674,9,FALSE)</f>
        <v>102</v>
      </c>
      <c r="AK157" s="18">
        <f t="shared" si="50"/>
        <v>0.75490196078431371</v>
      </c>
    </row>
    <row r="158" spans="1:37" x14ac:dyDescent="0.35">
      <c r="A158" s="11" t="s">
        <v>328</v>
      </c>
      <c r="B158" s="12" t="s">
        <v>329</v>
      </c>
      <c r="C158" s="54" t="s">
        <v>1415</v>
      </c>
      <c r="D158" s="54" t="s">
        <v>43</v>
      </c>
      <c r="E158" s="66">
        <f t="shared" si="35"/>
        <v>330</v>
      </c>
      <c r="F158" s="13">
        <f t="shared" si="36"/>
        <v>295</v>
      </c>
      <c r="G158" s="67">
        <f t="shared" si="37"/>
        <v>35</v>
      </c>
      <c r="H158" s="64">
        <f t="shared" si="34"/>
        <v>235</v>
      </c>
      <c r="I158" s="80">
        <v>0</v>
      </c>
      <c r="J158" s="80">
        <v>34</v>
      </c>
      <c r="K158" s="59">
        <f t="shared" si="38"/>
        <v>34</v>
      </c>
      <c r="L158" s="59">
        <v>0</v>
      </c>
      <c r="M158" s="59">
        <v>201</v>
      </c>
      <c r="N158" s="59">
        <f t="shared" si="39"/>
        <v>201</v>
      </c>
      <c r="O158" s="15">
        <f t="shared" si="40"/>
        <v>0</v>
      </c>
      <c r="P158" s="87">
        <f t="shared" si="41"/>
        <v>95</v>
      </c>
      <c r="Q158" s="110">
        <v>1</v>
      </c>
      <c r="R158" s="59">
        <v>94</v>
      </c>
      <c r="S158" s="14">
        <v>0</v>
      </c>
      <c r="T158" s="59">
        <v>0</v>
      </c>
      <c r="U158" s="15">
        <f t="shared" si="42"/>
        <v>0</v>
      </c>
      <c r="V158" s="14">
        <v>0</v>
      </c>
      <c r="W158" s="15">
        <f t="shared" si="43"/>
        <v>0</v>
      </c>
      <c r="X158" s="14">
        <v>0</v>
      </c>
      <c r="Y158" s="75">
        <v>0</v>
      </c>
      <c r="Z158" s="87">
        <f t="shared" si="44"/>
        <v>0</v>
      </c>
      <c r="AA158" s="14">
        <f t="shared" si="45"/>
        <v>0</v>
      </c>
      <c r="AB158" s="75">
        <v>0</v>
      </c>
      <c r="AC158" s="75">
        <v>0</v>
      </c>
      <c r="AD158" s="59">
        <f t="shared" si="46"/>
        <v>0</v>
      </c>
      <c r="AE158" s="73">
        <v>0</v>
      </c>
      <c r="AF158" s="73">
        <v>0</v>
      </c>
      <c r="AG158" s="15">
        <f t="shared" si="47"/>
        <v>0</v>
      </c>
      <c r="AH158" s="16">
        <f t="shared" si="48"/>
        <v>35</v>
      </c>
      <c r="AI158" s="17">
        <f t="shared" si="49"/>
        <v>295</v>
      </c>
      <c r="AJ158" s="12">
        <f>VLOOKUP(A158,'PreK Proxy - Sept. 2024'!$A$2:$I$674,9,FALSE)</f>
        <v>447</v>
      </c>
      <c r="AK158" s="18">
        <f t="shared" si="50"/>
        <v>0.73825503355704702</v>
      </c>
    </row>
    <row r="159" spans="1:37" x14ac:dyDescent="0.35">
      <c r="A159" s="11" t="s">
        <v>330</v>
      </c>
      <c r="B159" s="12" t="s">
        <v>331</v>
      </c>
      <c r="C159" s="54" t="s">
        <v>1415</v>
      </c>
      <c r="D159" s="54" t="s">
        <v>43</v>
      </c>
      <c r="E159" s="66">
        <f t="shared" si="35"/>
        <v>219</v>
      </c>
      <c r="F159" s="13">
        <f t="shared" si="36"/>
        <v>156</v>
      </c>
      <c r="G159" s="67">
        <f t="shared" si="37"/>
        <v>63</v>
      </c>
      <c r="H159" s="64">
        <f t="shared" si="34"/>
        <v>219</v>
      </c>
      <c r="I159" s="80">
        <v>0</v>
      </c>
      <c r="J159" s="80">
        <v>63</v>
      </c>
      <c r="K159" s="59">
        <f t="shared" si="38"/>
        <v>63</v>
      </c>
      <c r="L159" s="59">
        <v>0</v>
      </c>
      <c r="M159" s="59">
        <v>156</v>
      </c>
      <c r="N159" s="59">
        <f t="shared" si="39"/>
        <v>156</v>
      </c>
      <c r="O159" s="15">
        <f t="shared" si="40"/>
        <v>0</v>
      </c>
      <c r="P159" s="87">
        <f t="shared" si="41"/>
        <v>0</v>
      </c>
      <c r="Q159" s="110">
        <v>0</v>
      </c>
      <c r="R159" s="59">
        <v>0</v>
      </c>
      <c r="S159" s="14">
        <v>0</v>
      </c>
      <c r="T159" s="59">
        <v>0</v>
      </c>
      <c r="U159" s="15">
        <f t="shared" si="42"/>
        <v>0</v>
      </c>
      <c r="V159" s="14">
        <v>0</v>
      </c>
      <c r="W159" s="15">
        <f t="shared" si="43"/>
        <v>0</v>
      </c>
      <c r="X159" s="14">
        <v>0</v>
      </c>
      <c r="Y159" s="75">
        <v>0</v>
      </c>
      <c r="Z159" s="87">
        <f t="shared" si="44"/>
        <v>0</v>
      </c>
      <c r="AA159" s="14">
        <f t="shared" si="45"/>
        <v>0</v>
      </c>
      <c r="AB159" s="75">
        <v>0</v>
      </c>
      <c r="AC159" s="75">
        <v>0</v>
      </c>
      <c r="AD159" s="59">
        <f t="shared" si="46"/>
        <v>0</v>
      </c>
      <c r="AE159" s="73">
        <v>0</v>
      </c>
      <c r="AF159" s="73">
        <v>0</v>
      </c>
      <c r="AG159" s="15">
        <f t="shared" si="47"/>
        <v>0</v>
      </c>
      <c r="AH159" s="16">
        <f t="shared" si="48"/>
        <v>63</v>
      </c>
      <c r="AI159" s="17">
        <f t="shared" si="49"/>
        <v>156</v>
      </c>
      <c r="AJ159" s="12">
        <f>VLOOKUP(A159,'PreK Proxy - Sept. 2024'!$A$2:$I$674,9,FALSE)</f>
        <v>396</v>
      </c>
      <c r="AK159" s="18">
        <f t="shared" si="50"/>
        <v>0.55303030303030298</v>
      </c>
    </row>
    <row r="160" spans="1:37" x14ac:dyDescent="0.35">
      <c r="A160" s="11" t="s">
        <v>332</v>
      </c>
      <c r="B160" s="12" t="s">
        <v>333</v>
      </c>
      <c r="C160" s="54" t="s">
        <v>1455</v>
      </c>
      <c r="D160" s="54" t="s">
        <v>190</v>
      </c>
      <c r="E160" s="66">
        <f t="shared" si="35"/>
        <v>19</v>
      </c>
      <c r="F160" s="13">
        <f t="shared" si="36"/>
        <v>19</v>
      </c>
      <c r="G160" s="67">
        <f t="shared" si="37"/>
        <v>0</v>
      </c>
      <c r="H160" s="64">
        <f t="shared" si="34"/>
        <v>19</v>
      </c>
      <c r="I160" s="80">
        <v>0</v>
      </c>
      <c r="J160" s="80">
        <v>0</v>
      </c>
      <c r="K160" s="59">
        <f t="shared" si="38"/>
        <v>0</v>
      </c>
      <c r="L160" s="59">
        <v>0</v>
      </c>
      <c r="M160" s="59">
        <v>19</v>
      </c>
      <c r="N160" s="59">
        <f t="shared" si="39"/>
        <v>19</v>
      </c>
      <c r="O160" s="15">
        <f t="shared" si="40"/>
        <v>0</v>
      </c>
      <c r="P160" s="87">
        <f t="shared" si="41"/>
        <v>0</v>
      </c>
      <c r="Q160" s="110">
        <v>0</v>
      </c>
      <c r="R160" s="59">
        <v>0</v>
      </c>
      <c r="S160" s="14">
        <v>0</v>
      </c>
      <c r="T160" s="59">
        <v>0</v>
      </c>
      <c r="U160" s="15">
        <f t="shared" si="42"/>
        <v>0</v>
      </c>
      <c r="V160" s="14">
        <v>0</v>
      </c>
      <c r="W160" s="15">
        <f t="shared" si="43"/>
        <v>0</v>
      </c>
      <c r="X160" s="14">
        <v>0</v>
      </c>
      <c r="Y160" s="75">
        <v>0</v>
      </c>
      <c r="Z160" s="87">
        <f t="shared" si="44"/>
        <v>0</v>
      </c>
      <c r="AA160" s="14">
        <f t="shared" si="45"/>
        <v>0</v>
      </c>
      <c r="AB160" s="75">
        <v>0</v>
      </c>
      <c r="AC160" s="75">
        <v>0</v>
      </c>
      <c r="AD160" s="59">
        <f t="shared" si="46"/>
        <v>0</v>
      </c>
      <c r="AE160" s="73">
        <v>0</v>
      </c>
      <c r="AF160" s="73">
        <v>0</v>
      </c>
      <c r="AG160" s="15">
        <f t="shared" si="47"/>
        <v>0</v>
      </c>
      <c r="AH160" s="16">
        <f t="shared" si="48"/>
        <v>0</v>
      </c>
      <c r="AI160" s="17">
        <f t="shared" si="49"/>
        <v>19</v>
      </c>
      <c r="AJ160" s="12">
        <f>VLOOKUP(A160,'PreK Proxy - Sept. 2024'!$A$2:$I$674,9,FALSE)</f>
        <v>21</v>
      </c>
      <c r="AK160" s="18">
        <f t="shared" si="50"/>
        <v>0.90476190476190477</v>
      </c>
    </row>
    <row r="161" spans="1:37" x14ac:dyDescent="0.35">
      <c r="A161" s="11" t="s">
        <v>334</v>
      </c>
      <c r="B161" s="12" t="s">
        <v>335</v>
      </c>
      <c r="C161" s="54" t="s">
        <v>1455</v>
      </c>
      <c r="D161" s="54" t="s">
        <v>190</v>
      </c>
      <c r="E161" s="66">
        <f t="shared" si="35"/>
        <v>6</v>
      </c>
      <c r="F161" s="13">
        <f t="shared" si="36"/>
        <v>0</v>
      </c>
      <c r="G161" s="67">
        <f t="shared" si="37"/>
        <v>6</v>
      </c>
      <c r="H161" s="64">
        <f t="shared" si="34"/>
        <v>6</v>
      </c>
      <c r="I161" s="80">
        <v>0</v>
      </c>
      <c r="J161" s="80">
        <v>6</v>
      </c>
      <c r="K161" s="59">
        <f t="shared" si="38"/>
        <v>6</v>
      </c>
      <c r="L161" s="59">
        <v>0</v>
      </c>
      <c r="M161" s="59">
        <v>0</v>
      </c>
      <c r="N161" s="59">
        <f t="shared" si="39"/>
        <v>0</v>
      </c>
      <c r="O161" s="15">
        <f t="shared" si="40"/>
        <v>0</v>
      </c>
      <c r="P161" s="87">
        <f t="shared" si="41"/>
        <v>0</v>
      </c>
      <c r="Q161" s="110">
        <v>0</v>
      </c>
      <c r="R161" s="59">
        <v>0</v>
      </c>
      <c r="S161" s="14">
        <v>0</v>
      </c>
      <c r="T161" s="59">
        <v>0</v>
      </c>
      <c r="U161" s="15">
        <f t="shared" si="42"/>
        <v>0</v>
      </c>
      <c r="V161" s="14">
        <v>0</v>
      </c>
      <c r="W161" s="15">
        <f t="shared" si="43"/>
        <v>0</v>
      </c>
      <c r="X161" s="14">
        <v>0</v>
      </c>
      <c r="Y161" s="75">
        <v>0</v>
      </c>
      <c r="Z161" s="87">
        <f t="shared" si="44"/>
        <v>0</v>
      </c>
      <c r="AA161" s="14">
        <f t="shared" si="45"/>
        <v>0</v>
      </c>
      <c r="AB161" s="75">
        <v>0</v>
      </c>
      <c r="AC161" s="75">
        <v>0</v>
      </c>
      <c r="AD161" s="59">
        <f t="shared" si="46"/>
        <v>0</v>
      </c>
      <c r="AE161" s="73">
        <v>0</v>
      </c>
      <c r="AF161" s="73">
        <v>0</v>
      </c>
      <c r="AG161" s="15">
        <f t="shared" si="47"/>
        <v>0</v>
      </c>
      <c r="AH161" s="16">
        <f t="shared" si="48"/>
        <v>6</v>
      </c>
      <c r="AI161" s="17">
        <f t="shared" si="49"/>
        <v>0</v>
      </c>
      <c r="AJ161" s="12">
        <f>VLOOKUP(A161,'PreK Proxy - Sept. 2024'!$A$2:$I$674,9,FALSE)</f>
        <v>11</v>
      </c>
      <c r="AK161" s="18">
        <f t="shared" si="50"/>
        <v>0.54545454545454541</v>
      </c>
    </row>
    <row r="162" spans="1:37" x14ac:dyDescent="0.35">
      <c r="A162" s="11" t="s">
        <v>336</v>
      </c>
      <c r="B162" s="12" t="s">
        <v>337</v>
      </c>
      <c r="C162" s="54" t="s">
        <v>1455</v>
      </c>
      <c r="D162" s="54" t="s">
        <v>190</v>
      </c>
      <c r="E162" s="66">
        <f t="shared" si="35"/>
        <v>3</v>
      </c>
      <c r="F162" s="13">
        <f t="shared" si="36"/>
        <v>0</v>
      </c>
      <c r="G162" s="67">
        <f t="shared" si="37"/>
        <v>3</v>
      </c>
      <c r="H162" s="64">
        <f t="shared" si="34"/>
        <v>3</v>
      </c>
      <c r="I162" s="80">
        <v>0</v>
      </c>
      <c r="J162" s="80">
        <v>3</v>
      </c>
      <c r="K162" s="59">
        <f t="shared" si="38"/>
        <v>3</v>
      </c>
      <c r="L162" s="59">
        <v>0</v>
      </c>
      <c r="M162" s="59">
        <v>0</v>
      </c>
      <c r="N162" s="59">
        <f t="shared" si="39"/>
        <v>0</v>
      </c>
      <c r="O162" s="15">
        <f t="shared" si="40"/>
        <v>0</v>
      </c>
      <c r="P162" s="87">
        <f t="shared" si="41"/>
        <v>0</v>
      </c>
      <c r="Q162" s="110">
        <v>0</v>
      </c>
      <c r="R162" s="59">
        <v>0</v>
      </c>
      <c r="S162" s="14">
        <v>0</v>
      </c>
      <c r="T162" s="59">
        <v>0</v>
      </c>
      <c r="U162" s="15">
        <f t="shared" si="42"/>
        <v>0</v>
      </c>
      <c r="V162" s="14">
        <v>0</v>
      </c>
      <c r="W162" s="15">
        <f t="shared" si="43"/>
        <v>0</v>
      </c>
      <c r="X162" s="14">
        <v>0</v>
      </c>
      <c r="Y162" s="75">
        <v>0</v>
      </c>
      <c r="Z162" s="87">
        <f t="shared" si="44"/>
        <v>0</v>
      </c>
      <c r="AA162" s="14">
        <f t="shared" si="45"/>
        <v>0</v>
      </c>
      <c r="AB162" s="75">
        <v>0</v>
      </c>
      <c r="AC162" s="75">
        <v>0</v>
      </c>
      <c r="AD162" s="59">
        <f t="shared" si="46"/>
        <v>0</v>
      </c>
      <c r="AE162" s="73">
        <v>0</v>
      </c>
      <c r="AF162" s="73">
        <v>0</v>
      </c>
      <c r="AG162" s="15">
        <f t="shared" si="47"/>
        <v>0</v>
      </c>
      <c r="AH162" s="16">
        <f t="shared" si="48"/>
        <v>3</v>
      </c>
      <c r="AI162" s="17">
        <f t="shared" si="49"/>
        <v>0</v>
      </c>
      <c r="AJ162" s="12">
        <f>VLOOKUP(A162,'PreK Proxy - Sept. 2024'!$A$2:$I$674,9,FALSE)</f>
        <v>9</v>
      </c>
      <c r="AK162" s="18">
        <f t="shared" si="50"/>
        <v>0.33333333333333331</v>
      </c>
    </row>
    <row r="163" spans="1:37" x14ac:dyDescent="0.35">
      <c r="A163" s="11" t="s">
        <v>338</v>
      </c>
      <c r="B163" s="12" t="s">
        <v>339</v>
      </c>
      <c r="C163" s="54" t="s">
        <v>1455</v>
      </c>
      <c r="D163" s="54" t="s">
        <v>190</v>
      </c>
      <c r="E163" s="66">
        <f t="shared" si="35"/>
        <v>34</v>
      </c>
      <c r="F163" s="13">
        <f t="shared" si="36"/>
        <v>34</v>
      </c>
      <c r="G163" s="67">
        <f t="shared" si="37"/>
        <v>0</v>
      </c>
      <c r="H163" s="64">
        <f t="shared" si="34"/>
        <v>34</v>
      </c>
      <c r="I163" s="80">
        <v>0</v>
      </c>
      <c r="J163" s="80">
        <v>0</v>
      </c>
      <c r="K163" s="59">
        <f t="shared" si="38"/>
        <v>0</v>
      </c>
      <c r="L163" s="59">
        <v>0</v>
      </c>
      <c r="M163" s="59">
        <v>34</v>
      </c>
      <c r="N163" s="59">
        <f t="shared" si="39"/>
        <v>34</v>
      </c>
      <c r="O163" s="15">
        <f t="shared" si="40"/>
        <v>0</v>
      </c>
      <c r="P163" s="87">
        <f t="shared" si="41"/>
        <v>0</v>
      </c>
      <c r="Q163" s="110">
        <v>0</v>
      </c>
      <c r="R163" s="59">
        <v>0</v>
      </c>
      <c r="S163" s="14">
        <v>0</v>
      </c>
      <c r="T163" s="59">
        <v>0</v>
      </c>
      <c r="U163" s="15">
        <f t="shared" si="42"/>
        <v>0</v>
      </c>
      <c r="V163" s="14">
        <v>0</v>
      </c>
      <c r="W163" s="15">
        <f t="shared" si="43"/>
        <v>0</v>
      </c>
      <c r="X163" s="14">
        <v>0</v>
      </c>
      <c r="Y163" s="75">
        <v>0</v>
      </c>
      <c r="Z163" s="87">
        <f t="shared" si="44"/>
        <v>0</v>
      </c>
      <c r="AA163" s="14">
        <f t="shared" si="45"/>
        <v>0</v>
      </c>
      <c r="AB163" s="75">
        <v>0</v>
      </c>
      <c r="AC163" s="75">
        <v>0</v>
      </c>
      <c r="AD163" s="59">
        <f t="shared" si="46"/>
        <v>0</v>
      </c>
      <c r="AE163" s="73">
        <v>0</v>
      </c>
      <c r="AF163" s="73">
        <v>0</v>
      </c>
      <c r="AG163" s="15">
        <f t="shared" si="47"/>
        <v>0</v>
      </c>
      <c r="AH163" s="16">
        <f t="shared" si="48"/>
        <v>0</v>
      </c>
      <c r="AI163" s="17">
        <f t="shared" si="49"/>
        <v>34</v>
      </c>
      <c r="AJ163" s="12">
        <f>VLOOKUP(A163,'PreK Proxy - Sept. 2024'!$A$2:$I$674,9,FALSE)</f>
        <v>48</v>
      </c>
      <c r="AK163" s="18">
        <f t="shared" si="50"/>
        <v>0.70833333333333337</v>
      </c>
    </row>
    <row r="164" spans="1:37" x14ac:dyDescent="0.35">
      <c r="A164" s="11" t="s">
        <v>340</v>
      </c>
      <c r="B164" s="12" t="s">
        <v>341</v>
      </c>
      <c r="C164" s="54" t="s">
        <v>1455</v>
      </c>
      <c r="D164" s="54" t="s">
        <v>190</v>
      </c>
      <c r="E164" s="66">
        <f t="shared" si="35"/>
        <v>1</v>
      </c>
      <c r="F164" s="13">
        <f t="shared" si="36"/>
        <v>1</v>
      </c>
      <c r="G164" s="67">
        <f t="shared" si="37"/>
        <v>0</v>
      </c>
      <c r="H164" s="64">
        <f t="shared" si="34"/>
        <v>1</v>
      </c>
      <c r="I164" s="80">
        <v>0</v>
      </c>
      <c r="J164" s="80">
        <v>0</v>
      </c>
      <c r="K164" s="59">
        <f t="shared" si="38"/>
        <v>0</v>
      </c>
      <c r="L164" s="59">
        <v>0</v>
      </c>
      <c r="M164" s="59">
        <v>1</v>
      </c>
      <c r="N164" s="59">
        <f t="shared" si="39"/>
        <v>1</v>
      </c>
      <c r="O164" s="15">
        <f t="shared" si="40"/>
        <v>0</v>
      </c>
      <c r="P164" s="87">
        <f t="shared" si="41"/>
        <v>0</v>
      </c>
      <c r="Q164" s="110">
        <v>0</v>
      </c>
      <c r="R164" s="59">
        <v>0</v>
      </c>
      <c r="S164" s="14">
        <v>0</v>
      </c>
      <c r="T164" s="59">
        <v>0</v>
      </c>
      <c r="U164" s="15">
        <f t="shared" si="42"/>
        <v>0</v>
      </c>
      <c r="V164" s="14">
        <v>0</v>
      </c>
      <c r="W164" s="15">
        <f t="shared" si="43"/>
        <v>0</v>
      </c>
      <c r="X164" s="14">
        <v>0</v>
      </c>
      <c r="Y164" s="75">
        <v>0</v>
      </c>
      <c r="Z164" s="87">
        <f t="shared" si="44"/>
        <v>0</v>
      </c>
      <c r="AA164" s="14">
        <f t="shared" si="45"/>
        <v>0</v>
      </c>
      <c r="AB164" s="75">
        <v>0</v>
      </c>
      <c r="AC164" s="75">
        <v>0</v>
      </c>
      <c r="AD164" s="59">
        <f t="shared" si="46"/>
        <v>0</v>
      </c>
      <c r="AE164" s="73">
        <v>0</v>
      </c>
      <c r="AF164" s="73">
        <v>0</v>
      </c>
      <c r="AG164" s="15">
        <f t="shared" si="47"/>
        <v>0</v>
      </c>
      <c r="AH164" s="16">
        <f t="shared" si="48"/>
        <v>0</v>
      </c>
      <c r="AI164" s="17">
        <f t="shared" si="49"/>
        <v>1</v>
      </c>
      <c r="AJ164" s="12">
        <f>VLOOKUP(A164,'PreK Proxy - Sept. 2024'!$A$2:$I$674,9,FALSE)</f>
        <v>0</v>
      </c>
      <c r="AK164" s="18">
        <f t="shared" si="50"/>
        <v>0</v>
      </c>
    </row>
    <row r="165" spans="1:37" x14ac:dyDescent="0.35">
      <c r="A165" s="11" t="s">
        <v>342</v>
      </c>
      <c r="B165" s="12" t="s">
        <v>343</v>
      </c>
      <c r="C165" s="54" t="s">
        <v>1455</v>
      </c>
      <c r="D165" s="54" t="s">
        <v>190</v>
      </c>
      <c r="E165" s="66">
        <f t="shared" si="35"/>
        <v>26</v>
      </c>
      <c r="F165" s="13">
        <f t="shared" si="36"/>
        <v>26</v>
      </c>
      <c r="G165" s="67">
        <f t="shared" si="37"/>
        <v>0</v>
      </c>
      <c r="H165" s="64">
        <f t="shared" si="34"/>
        <v>0</v>
      </c>
      <c r="I165" s="80">
        <v>0</v>
      </c>
      <c r="J165" s="80">
        <v>0</v>
      </c>
      <c r="K165" s="59">
        <f t="shared" si="38"/>
        <v>0</v>
      </c>
      <c r="L165" s="59">
        <v>0</v>
      </c>
      <c r="M165" s="59">
        <v>0</v>
      </c>
      <c r="N165" s="59">
        <f t="shared" si="39"/>
        <v>0</v>
      </c>
      <c r="O165" s="15">
        <f t="shared" si="40"/>
        <v>0</v>
      </c>
      <c r="P165" s="87">
        <f t="shared" si="41"/>
        <v>0</v>
      </c>
      <c r="Q165" s="110">
        <v>0</v>
      </c>
      <c r="R165" s="59">
        <v>0</v>
      </c>
      <c r="S165" s="14">
        <v>26</v>
      </c>
      <c r="T165" s="59">
        <v>0</v>
      </c>
      <c r="U165" s="15">
        <f t="shared" si="42"/>
        <v>26</v>
      </c>
      <c r="V165" s="14">
        <v>0</v>
      </c>
      <c r="W165" s="15">
        <f t="shared" si="43"/>
        <v>0</v>
      </c>
      <c r="X165" s="14">
        <v>0</v>
      </c>
      <c r="Y165" s="75">
        <v>0</v>
      </c>
      <c r="Z165" s="87">
        <f t="shared" si="44"/>
        <v>0</v>
      </c>
      <c r="AA165" s="14">
        <f t="shared" si="45"/>
        <v>0</v>
      </c>
      <c r="AB165" s="75">
        <v>0</v>
      </c>
      <c r="AC165" s="75">
        <v>0</v>
      </c>
      <c r="AD165" s="59">
        <f t="shared" si="46"/>
        <v>0</v>
      </c>
      <c r="AE165" s="73">
        <v>0</v>
      </c>
      <c r="AF165" s="73">
        <v>0</v>
      </c>
      <c r="AG165" s="15">
        <f t="shared" si="47"/>
        <v>0</v>
      </c>
      <c r="AH165" s="16">
        <f t="shared" si="48"/>
        <v>0</v>
      </c>
      <c r="AI165" s="17">
        <f t="shared" si="49"/>
        <v>26</v>
      </c>
      <c r="AJ165" s="12">
        <f>VLOOKUP(A165,'PreK Proxy - Sept. 2024'!$A$2:$I$674,9,FALSE)</f>
        <v>50</v>
      </c>
      <c r="AK165" s="18">
        <f t="shared" si="50"/>
        <v>0.52</v>
      </c>
    </row>
    <row r="166" spans="1:37" x14ac:dyDescent="0.35">
      <c r="A166" s="11" t="s">
        <v>344</v>
      </c>
      <c r="B166" s="12" t="s">
        <v>345</v>
      </c>
      <c r="C166" s="54" t="s">
        <v>1455</v>
      </c>
      <c r="D166" s="54" t="s">
        <v>190</v>
      </c>
      <c r="E166" s="66">
        <f t="shared" si="35"/>
        <v>0</v>
      </c>
      <c r="F166" s="13">
        <f t="shared" si="36"/>
        <v>0</v>
      </c>
      <c r="G166" s="67">
        <f t="shared" si="37"/>
        <v>0</v>
      </c>
      <c r="H166" s="64">
        <f t="shared" si="34"/>
        <v>0</v>
      </c>
      <c r="I166" s="80">
        <v>0</v>
      </c>
      <c r="J166" s="80">
        <v>0</v>
      </c>
      <c r="K166" s="59">
        <f t="shared" si="38"/>
        <v>0</v>
      </c>
      <c r="L166" s="59">
        <v>0</v>
      </c>
      <c r="M166" s="59">
        <v>0</v>
      </c>
      <c r="N166" s="59">
        <f t="shared" si="39"/>
        <v>0</v>
      </c>
      <c r="O166" s="15">
        <f t="shared" si="40"/>
        <v>0</v>
      </c>
      <c r="P166" s="87">
        <f t="shared" si="41"/>
        <v>0</v>
      </c>
      <c r="Q166" s="110">
        <v>0</v>
      </c>
      <c r="R166" s="59">
        <v>0</v>
      </c>
      <c r="S166" s="14">
        <v>0</v>
      </c>
      <c r="T166" s="59">
        <v>0</v>
      </c>
      <c r="U166" s="15">
        <f t="shared" si="42"/>
        <v>0</v>
      </c>
      <c r="V166" s="14">
        <v>0</v>
      </c>
      <c r="W166" s="15">
        <f t="shared" si="43"/>
        <v>0</v>
      </c>
      <c r="X166" s="14">
        <v>0</v>
      </c>
      <c r="Y166" s="75">
        <v>0</v>
      </c>
      <c r="Z166" s="87">
        <f t="shared" si="44"/>
        <v>0</v>
      </c>
      <c r="AA166" s="14">
        <f t="shared" si="45"/>
        <v>0</v>
      </c>
      <c r="AB166" s="75">
        <v>0</v>
      </c>
      <c r="AC166" s="75">
        <v>0</v>
      </c>
      <c r="AD166" s="59">
        <f t="shared" si="46"/>
        <v>0</v>
      </c>
      <c r="AE166" s="73">
        <v>0</v>
      </c>
      <c r="AF166" s="73">
        <v>0</v>
      </c>
      <c r="AG166" s="15">
        <f t="shared" si="47"/>
        <v>0</v>
      </c>
      <c r="AH166" s="16">
        <f t="shared" si="48"/>
        <v>0</v>
      </c>
      <c r="AI166" s="17">
        <f t="shared" si="49"/>
        <v>0</v>
      </c>
      <c r="AJ166" s="12">
        <f>VLOOKUP(A166,'PreK Proxy - Sept. 2024'!$A$2:$I$674,9,FALSE)</f>
        <v>12</v>
      </c>
      <c r="AK166" s="18">
        <f t="shared" si="50"/>
        <v>0</v>
      </c>
    </row>
    <row r="167" spans="1:37" x14ac:dyDescent="0.35">
      <c r="A167" s="11" t="s">
        <v>346</v>
      </c>
      <c r="B167" s="12" t="s">
        <v>347</v>
      </c>
      <c r="C167" s="54" t="s">
        <v>1455</v>
      </c>
      <c r="D167" s="54" t="s">
        <v>190</v>
      </c>
      <c r="E167" s="66">
        <f t="shared" si="35"/>
        <v>30</v>
      </c>
      <c r="F167" s="13">
        <f t="shared" si="36"/>
        <v>0</v>
      </c>
      <c r="G167" s="67">
        <f t="shared" si="37"/>
        <v>30</v>
      </c>
      <c r="H167" s="64">
        <f t="shared" si="34"/>
        <v>30</v>
      </c>
      <c r="I167" s="80">
        <v>0</v>
      </c>
      <c r="J167" s="80">
        <v>30</v>
      </c>
      <c r="K167" s="59">
        <f t="shared" si="38"/>
        <v>30</v>
      </c>
      <c r="L167" s="59">
        <v>0</v>
      </c>
      <c r="M167" s="59">
        <v>0</v>
      </c>
      <c r="N167" s="59">
        <f t="shared" si="39"/>
        <v>0</v>
      </c>
      <c r="O167" s="15">
        <f t="shared" si="40"/>
        <v>0</v>
      </c>
      <c r="P167" s="87">
        <f t="shared" si="41"/>
        <v>0</v>
      </c>
      <c r="Q167" s="110">
        <v>0</v>
      </c>
      <c r="R167" s="59">
        <v>0</v>
      </c>
      <c r="S167" s="14">
        <v>0</v>
      </c>
      <c r="T167" s="59">
        <v>0</v>
      </c>
      <c r="U167" s="15">
        <f t="shared" si="42"/>
        <v>0</v>
      </c>
      <c r="V167" s="14">
        <v>0</v>
      </c>
      <c r="W167" s="15">
        <f t="shared" si="43"/>
        <v>0</v>
      </c>
      <c r="X167" s="14">
        <v>0</v>
      </c>
      <c r="Y167" s="75">
        <v>0</v>
      </c>
      <c r="Z167" s="87">
        <f t="shared" si="44"/>
        <v>0</v>
      </c>
      <c r="AA167" s="14">
        <f t="shared" si="45"/>
        <v>0</v>
      </c>
      <c r="AB167" s="75">
        <v>0</v>
      </c>
      <c r="AC167" s="75">
        <v>0</v>
      </c>
      <c r="AD167" s="59">
        <f t="shared" si="46"/>
        <v>0</v>
      </c>
      <c r="AE167" s="73">
        <v>0</v>
      </c>
      <c r="AF167" s="73">
        <v>0</v>
      </c>
      <c r="AG167" s="15">
        <f t="shared" si="47"/>
        <v>0</v>
      </c>
      <c r="AH167" s="16">
        <f t="shared" si="48"/>
        <v>30</v>
      </c>
      <c r="AI167" s="17">
        <f t="shared" si="49"/>
        <v>0</v>
      </c>
      <c r="AJ167" s="12">
        <f>VLOOKUP(A167,'PreK Proxy - Sept. 2024'!$A$2:$I$674,9,FALSE)</f>
        <v>39</v>
      </c>
      <c r="AK167" s="18">
        <f t="shared" si="50"/>
        <v>0.76923076923076927</v>
      </c>
    </row>
    <row r="168" spans="1:37" x14ac:dyDescent="0.35">
      <c r="A168" s="11" t="s">
        <v>348</v>
      </c>
      <c r="B168" s="12" t="s">
        <v>349</v>
      </c>
      <c r="C168" s="54" t="s">
        <v>1455</v>
      </c>
      <c r="D168" s="54" t="s">
        <v>190</v>
      </c>
      <c r="E168" s="66">
        <f t="shared" si="35"/>
        <v>17</v>
      </c>
      <c r="F168" s="13">
        <f t="shared" si="36"/>
        <v>17</v>
      </c>
      <c r="G168" s="67">
        <f t="shared" si="37"/>
        <v>0</v>
      </c>
      <c r="H168" s="64">
        <v>0</v>
      </c>
      <c r="I168" s="80">
        <v>0</v>
      </c>
      <c r="J168" s="80">
        <v>0</v>
      </c>
      <c r="K168" s="59">
        <f t="shared" si="38"/>
        <v>0</v>
      </c>
      <c r="L168" s="59">
        <v>0</v>
      </c>
      <c r="M168" s="59">
        <v>17</v>
      </c>
      <c r="N168" s="59">
        <f t="shared" si="39"/>
        <v>17</v>
      </c>
      <c r="O168" s="15">
        <f t="shared" si="40"/>
        <v>0</v>
      </c>
      <c r="P168" s="87">
        <f t="shared" si="41"/>
        <v>0</v>
      </c>
      <c r="Q168" s="110">
        <v>0</v>
      </c>
      <c r="R168" s="59">
        <v>0</v>
      </c>
      <c r="S168" s="14">
        <v>0</v>
      </c>
      <c r="T168" s="59">
        <v>0</v>
      </c>
      <c r="U168" s="15">
        <f t="shared" si="42"/>
        <v>0</v>
      </c>
      <c r="V168" s="14">
        <v>0</v>
      </c>
      <c r="W168" s="15">
        <f t="shared" si="43"/>
        <v>0</v>
      </c>
      <c r="X168" s="14">
        <v>0</v>
      </c>
      <c r="Y168" s="75">
        <v>0</v>
      </c>
      <c r="Z168" s="87">
        <f t="shared" si="44"/>
        <v>0</v>
      </c>
      <c r="AA168" s="14">
        <f t="shared" si="45"/>
        <v>0</v>
      </c>
      <c r="AB168" s="75">
        <v>0</v>
      </c>
      <c r="AC168" s="75">
        <v>0</v>
      </c>
      <c r="AD168" s="59">
        <f t="shared" si="46"/>
        <v>0</v>
      </c>
      <c r="AE168" s="73">
        <v>0</v>
      </c>
      <c r="AF168" s="73">
        <v>0</v>
      </c>
      <c r="AG168" s="15">
        <f t="shared" si="47"/>
        <v>0</v>
      </c>
      <c r="AH168" s="16">
        <f t="shared" si="48"/>
        <v>0</v>
      </c>
      <c r="AI168" s="17">
        <f t="shared" si="49"/>
        <v>17</v>
      </c>
      <c r="AJ168" s="12">
        <f>VLOOKUP(A168,'PreK Proxy - Sept. 2024'!$A$2:$I$674,9,FALSE)</f>
        <v>20</v>
      </c>
      <c r="AK168" s="18">
        <f t="shared" si="50"/>
        <v>0.85</v>
      </c>
    </row>
    <row r="169" spans="1:37" x14ac:dyDescent="0.35">
      <c r="A169" s="11" t="s">
        <v>1400</v>
      </c>
      <c r="B169" s="12" t="s">
        <v>1401</v>
      </c>
      <c r="C169" s="54" t="s">
        <v>1455</v>
      </c>
      <c r="D169" s="54" t="s">
        <v>190</v>
      </c>
      <c r="E169" s="66">
        <f t="shared" si="35"/>
        <v>27</v>
      </c>
      <c r="F169" s="13">
        <f t="shared" si="36"/>
        <v>27</v>
      </c>
      <c r="G169" s="67">
        <f t="shared" si="37"/>
        <v>0</v>
      </c>
      <c r="H169" s="64">
        <f t="shared" ref="H169" si="51">K169+N169</f>
        <v>27</v>
      </c>
      <c r="I169" s="80">
        <v>0</v>
      </c>
      <c r="J169" s="80">
        <v>0</v>
      </c>
      <c r="K169" s="59">
        <f t="shared" si="38"/>
        <v>0</v>
      </c>
      <c r="L169" s="59">
        <v>10</v>
      </c>
      <c r="M169" s="59">
        <v>17</v>
      </c>
      <c r="N169" s="59">
        <f t="shared" si="39"/>
        <v>27</v>
      </c>
      <c r="O169" s="15">
        <f t="shared" si="40"/>
        <v>0</v>
      </c>
      <c r="P169" s="87">
        <f t="shared" si="41"/>
        <v>0</v>
      </c>
      <c r="Q169" s="110">
        <v>0</v>
      </c>
      <c r="R169" s="59">
        <v>0</v>
      </c>
      <c r="S169" s="14">
        <v>0</v>
      </c>
      <c r="T169" s="59">
        <v>0</v>
      </c>
      <c r="U169" s="15">
        <f t="shared" ref="U169" si="52">S169+T169</f>
        <v>0</v>
      </c>
      <c r="V169" s="14">
        <v>0</v>
      </c>
      <c r="W169" s="15">
        <f t="shared" si="43"/>
        <v>0</v>
      </c>
      <c r="X169" s="14">
        <v>0</v>
      </c>
      <c r="Y169" s="75">
        <v>0</v>
      </c>
      <c r="Z169" s="87">
        <f t="shared" si="44"/>
        <v>0</v>
      </c>
      <c r="AA169" s="14">
        <f t="shared" si="45"/>
        <v>0</v>
      </c>
      <c r="AB169" s="75">
        <v>0</v>
      </c>
      <c r="AC169" s="75">
        <v>0</v>
      </c>
      <c r="AD169" s="59">
        <f t="shared" si="46"/>
        <v>0</v>
      </c>
      <c r="AE169" s="73">
        <v>0</v>
      </c>
      <c r="AF169" s="73">
        <v>0</v>
      </c>
      <c r="AG169" s="15">
        <f t="shared" si="47"/>
        <v>0</v>
      </c>
      <c r="AH169" s="16">
        <f t="shared" si="48"/>
        <v>0</v>
      </c>
      <c r="AI169" s="17">
        <f t="shared" si="49"/>
        <v>17</v>
      </c>
      <c r="AJ169" s="12">
        <f>VLOOKUP(A169,'PreK Proxy - Sept. 2024'!$A$2:$I$674,9,FALSE)</f>
        <v>22</v>
      </c>
      <c r="AK169" s="18">
        <f t="shared" si="50"/>
        <v>0.77272727272727271</v>
      </c>
    </row>
    <row r="170" spans="1:37" x14ac:dyDescent="0.35">
      <c r="A170" s="11" t="s">
        <v>350</v>
      </c>
      <c r="B170" s="12" t="s">
        <v>351</v>
      </c>
      <c r="C170" s="54" t="s">
        <v>1372</v>
      </c>
      <c r="D170" s="54" t="s">
        <v>190</v>
      </c>
      <c r="E170" s="66">
        <f t="shared" si="35"/>
        <v>31</v>
      </c>
      <c r="F170" s="13">
        <f t="shared" si="36"/>
        <v>31</v>
      </c>
      <c r="G170" s="67">
        <f t="shared" si="37"/>
        <v>0</v>
      </c>
      <c r="H170" s="64">
        <f t="shared" si="34"/>
        <v>31</v>
      </c>
      <c r="I170" s="80">
        <v>0</v>
      </c>
      <c r="J170" s="80">
        <v>0</v>
      </c>
      <c r="K170" s="59">
        <f t="shared" si="38"/>
        <v>0</v>
      </c>
      <c r="L170" s="59">
        <v>0</v>
      </c>
      <c r="M170" s="59">
        <v>31</v>
      </c>
      <c r="N170" s="59">
        <f t="shared" si="39"/>
        <v>31</v>
      </c>
      <c r="O170" s="15">
        <f t="shared" si="40"/>
        <v>0</v>
      </c>
      <c r="P170" s="87">
        <f t="shared" si="41"/>
        <v>0</v>
      </c>
      <c r="Q170" s="110">
        <v>0</v>
      </c>
      <c r="R170" s="59">
        <v>0</v>
      </c>
      <c r="S170" s="14">
        <v>0</v>
      </c>
      <c r="T170" s="59">
        <v>0</v>
      </c>
      <c r="U170" s="15">
        <f t="shared" si="42"/>
        <v>0</v>
      </c>
      <c r="V170" s="14">
        <v>0</v>
      </c>
      <c r="W170" s="15">
        <f t="shared" si="43"/>
        <v>0</v>
      </c>
      <c r="X170" s="14">
        <v>0</v>
      </c>
      <c r="Y170" s="75">
        <v>0</v>
      </c>
      <c r="Z170" s="87">
        <f t="shared" si="44"/>
        <v>0</v>
      </c>
      <c r="AA170" s="14">
        <f t="shared" si="45"/>
        <v>0</v>
      </c>
      <c r="AB170" s="75">
        <v>0</v>
      </c>
      <c r="AC170" s="75">
        <v>0</v>
      </c>
      <c r="AD170" s="59">
        <f t="shared" si="46"/>
        <v>0</v>
      </c>
      <c r="AE170" s="73">
        <v>0</v>
      </c>
      <c r="AF170" s="73">
        <v>0</v>
      </c>
      <c r="AG170" s="15">
        <f t="shared" si="47"/>
        <v>0</v>
      </c>
      <c r="AH170" s="16">
        <f t="shared" si="48"/>
        <v>0</v>
      </c>
      <c r="AI170" s="17">
        <f t="shared" si="49"/>
        <v>31</v>
      </c>
      <c r="AJ170" s="12">
        <f>VLOOKUP(A170,'PreK Proxy - Sept. 2024'!$A$2:$I$674,9,FALSE)</f>
        <v>45</v>
      </c>
      <c r="AK170" s="18">
        <f t="shared" si="50"/>
        <v>0.68888888888888888</v>
      </c>
    </row>
    <row r="171" spans="1:37" x14ac:dyDescent="0.35">
      <c r="A171" s="11" t="s">
        <v>352</v>
      </c>
      <c r="B171" s="12" t="s">
        <v>353</v>
      </c>
      <c r="C171" s="54" t="s">
        <v>1372</v>
      </c>
      <c r="D171" s="54" t="s">
        <v>190</v>
      </c>
      <c r="E171" s="66">
        <f t="shared" si="35"/>
        <v>42</v>
      </c>
      <c r="F171" s="13">
        <f t="shared" si="36"/>
        <v>42</v>
      </c>
      <c r="G171" s="67">
        <f t="shared" si="37"/>
        <v>0</v>
      </c>
      <c r="H171" s="64">
        <f t="shared" si="34"/>
        <v>42</v>
      </c>
      <c r="I171" s="80">
        <v>0</v>
      </c>
      <c r="J171" s="80">
        <v>0</v>
      </c>
      <c r="K171" s="59">
        <f t="shared" si="38"/>
        <v>0</v>
      </c>
      <c r="L171" s="59">
        <v>22</v>
      </c>
      <c r="M171" s="59">
        <v>20</v>
      </c>
      <c r="N171" s="59">
        <f t="shared" si="39"/>
        <v>42</v>
      </c>
      <c r="O171" s="15">
        <f t="shared" si="40"/>
        <v>0</v>
      </c>
      <c r="P171" s="87">
        <f t="shared" si="41"/>
        <v>0</v>
      </c>
      <c r="Q171" s="110">
        <v>0</v>
      </c>
      <c r="R171" s="59">
        <v>0</v>
      </c>
      <c r="S171" s="14">
        <v>0</v>
      </c>
      <c r="T171" s="59">
        <v>0</v>
      </c>
      <c r="U171" s="15">
        <f t="shared" si="42"/>
        <v>0</v>
      </c>
      <c r="V171" s="14">
        <v>0</v>
      </c>
      <c r="W171" s="15">
        <f t="shared" si="43"/>
        <v>0</v>
      </c>
      <c r="X171" s="14">
        <v>0</v>
      </c>
      <c r="Y171" s="75">
        <v>0</v>
      </c>
      <c r="Z171" s="87">
        <f t="shared" si="44"/>
        <v>0</v>
      </c>
      <c r="AA171" s="14">
        <f t="shared" si="45"/>
        <v>0</v>
      </c>
      <c r="AB171" s="75">
        <v>0</v>
      </c>
      <c r="AC171" s="75">
        <v>0</v>
      </c>
      <c r="AD171" s="59">
        <f t="shared" si="46"/>
        <v>0</v>
      </c>
      <c r="AE171" s="73">
        <v>0</v>
      </c>
      <c r="AF171" s="73">
        <v>0</v>
      </c>
      <c r="AG171" s="15">
        <f t="shared" si="47"/>
        <v>0</v>
      </c>
      <c r="AH171" s="16">
        <f t="shared" si="48"/>
        <v>0</v>
      </c>
      <c r="AI171" s="17">
        <f t="shared" si="49"/>
        <v>20</v>
      </c>
      <c r="AJ171" s="12">
        <f>VLOOKUP(A171,'PreK Proxy - Sept. 2024'!$A$2:$I$674,9,FALSE)</f>
        <v>38</v>
      </c>
      <c r="AK171" s="18">
        <f t="shared" si="50"/>
        <v>0.52631578947368418</v>
      </c>
    </row>
    <row r="172" spans="1:37" x14ac:dyDescent="0.35">
      <c r="A172" s="11" t="s">
        <v>354</v>
      </c>
      <c r="B172" s="12" t="s">
        <v>355</v>
      </c>
      <c r="C172" s="54" t="s">
        <v>1372</v>
      </c>
      <c r="D172" s="54" t="s">
        <v>190</v>
      </c>
      <c r="E172" s="66">
        <f t="shared" si="35"/>
        <v>24</v>
      </c>
      <c r="F172" s="13">
        <f t="shared" si="36"/>
        <v>24</v>
      </c>
      <c r="G172" s="67">
        <f t="shared" si="37"/>
        <v>0</v>
      </c>
      <c r="H172" s="64">
        <f t="shared" si="34"/>
        <v>24</v>
      </c>
      <c r="I172" s="80">
        <v>0</v>
      </c>
      <c r="J172" s="80">
        <v>0</v>
      </c>
      <c r="K172" s="59">
        <f t="shared" si="38"/>
        <v>0</v>
      </c>
      <c r="L172" s="59">
        <v>0</v>
      </c>
      <c r="M172" s="59">
        <v>24</v>
      </c>
      <c r="N172" s="59">
        <f t="shared" si="39"/>
        <v>24</v>
      </c>
      <c r="O172" s="15">
        <f t="shared" si="40"/>
        <v>0</v>
      </c>
      <c r="P172" s="87">
        <f t="shared" si="41"/>
        <v>0</v>
      </c>
      <c r="Q172" s="110">
        <v>0</v>
      </c>
      <c r="R172" s="59">
        <v>0</v>
      </c>
      <c r="S172" s="14">
        <v>0</v>
      </c>
      <c r="T172" s="59">
        <v>0</v>
      </c>
      <c r="U172" s="15">
        <f t="shared" si="42"/>
        <v>0</v>
      </c>
      <c r="V172" s="14">
        <v>0</v>
      </c>
      <c r="W172" s="15">
        <f t="shared" si="43"/>
        <v>0</v>
      </c>
      <c r="X172" s="14">
        <v>0</v>
      </c>
      <c r="Y172" s="75">
        <v>0</v>
      </c>
      <c r="Z172" s="87">
        <f t="shared" si="44"/>
        <v>0</v>
      </c>
      <c r="AA172" s="14">
        <f t="shared" si="45"/>
        <v>0</v>
      </c>
      <c r="AB172" s="75">
        <v>0</v>
      </c>
      <c r="AC172" s="75">
        <v>0</v>
      </c>
      <c r="AD172" s="59">
        <f t="shared" si="46"/>
        <v>0</v>
      </c>
      <c r="AE172" s="73">
        <v>0</v>
      </c>
      <c r="AF172" s="73">
        <v>0</v>
      </c>
      <c r="AG172" s="15">
        <f t="shared" si="47"/>
        <v>0</v>
      </c>
      <c r="AH172" s="16">
        <f t="shared" si="48"/>
        <v>0</v>
      </c>
      <c r="AI172" s="17">
        <f t="shared" si="49"/>
        <v>24</v>
      </c>
      <c r="AJ172" s="12">
        <f>VLOOKUP(A172,'PreK Proxy - Sept. 2024'!$A$2:$I$674,9,FALSE)</f>
        <v>79</v>
      </c>
      <c r="AK172" s="18">
        <f t="shared" si="50"/>
        <v>0.30379746835443039</v>
      </c>
    </row>
    <row r="173" spans="1:37" x14ac:dyDescent="0.35">
      <c r="A173" s="11" t="s">
        <v>356</v>
      </c>
      <c r="B173" s="12" t="s">
        <v>357</v>
      </c>
      <c r="C173" s="54" t="s">
        <v>1372</v>
      </c>
      <c r="D173" s="54" t="s">
        <v>190</v>
      </c>
      <c r="E173" s="66">
        <f t="shared" si="35"/>
        <v>50</v>
      </c>
      <c r="F173" s="13">
        <f t="shared" si="36"/>
        <v>48</v>
      </c>
      <c r="G173" s="67">
        <f t="shared" si="37"/>
        <v>2</v>
      </c>
      <c r="H173" s="64">
        <f t="shared" si="34"/>
        <v>46</v>
      </c>
      <c r="I173" s="80">
        <v>0</v>
      </c>
      <c r="J173" s="80">
        <v>1</v>
      </c>
      <c r="K173" s="59">
        <f t="shared" si="38"/>
        <v>1</v>
      </c>
      <c r="L173" s="59">
        <v>0</v>
      </c>
      <c r="M173" s="59">
        <v>45</v>
      </c>
      <c r="N173" s="59">
        <f t="shared" si="39"/>
        <v>45</v>
      </c>
      <c r="O173" s="15">
        <f t="shared" si="40"/>
        <v>0</v>
      </c>
      <c r="P173" s="87">
        <f t="shared" si="41"/>
        <v>4</v>
      </c>
      <c r="Q173" s="110">
        <v>1</v>
      </c>
      <c r="R173" s="59">
        <v>3</v>
      </c>
      <c r="S173" s="14">
        <v>0</v>
      </c>
      <c r="T173" s="59">
        <v>0</v>
      </c>
      <c r="U173" s="15">
        <f t="shared" si="42"/>
        <v>0</v>
      </c>
      <c r="V173" s="14">
        <v>0</v>
      </c>
      <c r="W173" s="15">
        <f t="shared" si="43"/>
        <v>0</v>
      </c>
      <c r="X173" s="14">
        <v>0</v>
      </c>
      <c r="Y173" s="75">
        <v>0</v>
      </c>
      <c r="Z173" s="87">
        <f t="shared" si="44"/>
        <v>0</v>
      </c>
      <c r="AA173" s="14">
        <f t="shared" si="45"/>
        <v>0</v>
      </c>
      <c r="AB173" s="75">
        <v>0</v>
      </c>
      <c r="AC173" s="75">
        <v>0</v>
      </c>
      <c r="AD173" s="59">
        <f t="shared" si="46"/>
        <v>0</v>
      </c>
      <c r="AE173" s="73">
        <v>0</v>
      </c>
      <c r="AF173" s="73">
        <v>0</v>
      </c>
      <c r="AG173" s="15">
        <f t="shared" si="47"/>
        <v>0</v>
      </c>
      <c r="AH173" s="16">
        <f t="shared" si="48"/>
        <v>2</v>
      </c>
      <c r="AI173" s="17">
        <f t="shared" si="49"/>
        <v>48</v>
      </c>
      <c r="AJ173" s="12">
        <f>VLOOKUP(A173,'PreK Proxy - Sept. 2024'!$A$2:$I$674,9,FALSE)</f>
        <v>62</v>
      </c>
      <c r="AK173" s="18">
        <f t="shared" si="50"/>
        <v>0.80645161290322576</v>
      </c>
    </row>
    <row r="174" spans="1:37" x14ac:dyDescent="0.35">
      <c r="A174" s="11" t="s">
        <v>358</v>
      </c>
      <c r="B174" s="12" t="s">
        <v>359</v>
      </c>
      <c r="C174" s="54" t="s">
        <v>1372</v>
      </c>
      <c r="D174" s="54" t="s">
        <v>190</v>
      </c>
      <c r="E174" s="66">
        <f t="shared" si="35"/>
        <v>98</v>
      </c>
      <c r="F174" s="13">
        <f t="shared" si="36"/>
        <v>98</v>
      </c>
      <c r="G174" s="67">
        <f t="shared" si="37"/>
        <v>0</v>
      </c>
      <c r="H174" s="64">
        <f t="shared" si="34"/>
        <v>98</v>
      </c>
      <c r="I174" s="80">
        <v>0</v>
      </c>
      <c r="J174" s="80">
        <v>0</v>
      </c>
      <c r="K174" s="59">
        <f t="shared" si="38"/>
        <v>0</v>
      </c>
      <c r="L174" s="59">
        <v>0</v>
      </c>
      <c r="M174" s="59">
        <v>98</v>
      </c>
      <c r="N174" s="59">
        <f t="shared" si="39"/>
        <v>98</v>
      </c>
      <c r="O174" s="15">
        <f t="shared" si="40"/>
        <v>0</v>
      </c>
      <c r="P174" s="87">
        <f t="shared" si="41"/>
        <v>0</v>
      </c>
      <c r="Q174" s="110">
        <v>0</v>
      </c>
      <c r="R174" s="59">
        <v>0</v>
      </c>
      <c r="S174" s="14">
        <v>0</v>
      </c>
      <c r="T174" s="59">
        <v>0</v>
      </c>
      <c r="U174" s="15">
        <f t="shared" si="42"/>
        <v>0</v>
      </c>
      <c r="V174" s="14">
        <v>0</v>
      </c>
      <c r="W174" s="15">
        <f t="shared" si="43"/>
        <v>0</v>
      </c>
      <c r="X174" s="14">
        <v>0</v>
      </c>
      <c r="Y174" s="75">
        <v>0</v>
      </c>
      <c r="Z174" s="87">
        <f t="shared" si="44"/>
        <v>0</v>
      </c>
      <c r="AA174" s="14">
        <f t="shared" si="45"/>
        <v>0</v>
      </c>
      <c r="AB174" s="75">
        <v>0</v>
      </c>
      <c r="AC174" s="75">
        <v>0</v>
      </c>
      <c r="AD174" s="59">
        <f t="shared" si="46"/>
        <v>0</v>
      </c>
      <c r="AE174" s="73">
        <v>0</v>
      </c>
      <c r="AF174" s="73">
        <v>0</v>
      </c>
      <c r="AG174" s="15">
        <f t="shared" si="47"/>
        <v>0</v>
      </c>
      <c r="AH174" s="16">
        <f t="shared" si="48"/>
        <v>0</v>
      </c>
      <c r="AI174" s="17">
        <f t="shared" si="49"/>
        <v>98</v>
      </c>
      <c r="AJ174" s="12">
        <f>VLOOKUP(A174,'PreK Proxy - Sept. 2024'!$A$2:$I$674,9,FALSE)</f>
        <v>117</v>
      </c>
      <c r="AK174" s="18">
        <f t="shared" si="50"/>
        <v>0.83760683760683763</v>
      </c>
    </row>
    <row r="175" spans="1:37" x14ac:dyDescent="0.35">
      <c r="A175" s="11" t="s">
        <v>360</v>
      </c>
      <c r="B175" s="12" t="s">
        <v>361</v>
      </c>
      <c r="C175" s="54" t="s">
        <v>1372</v>
      </c>
      <c r="D175" s="54" t="s">
        <v>190</v>
      </c>
      <c r="E175" s="66">
        <f t="shared" si="35"/>
        <v>48</v>
      </c>
      <c r="F175" s="13">
        <f t="shared" si="36"/>
        <v>48</v>
      </c>
      <c r="G175" s="67">
        <f t="shared" si="37"/>
        <v>0</v>
      </c>
      <c r="H175" s="64">
        <f t="shared" si="34"/>
        <v>33</v>
      </c>
      <c r="I175" s="80">
        <v>0</v>
      </c>
      <c r="J175" s="80">
        <v>0</v>
      </c>
      <c r="K175" s="59">
        <f t="shared" si="38"/>
        <v>0</v>
      </c>
      <c r="L175" s="59">
        <v>4</v>
      </c>
      <c r="M175" s="59">
        <v>29</v>
      </c>
      <c r="N175" s="59">
        <f t="shared" si="39"/>
        <v>33</v>
      </c>
      <c r="O175" s="15">
        <f t="shared" si="40"/>
        <v>0</v>
      </c>
      <c r="P175" s="87">
        <f t="shared" si="41"/>
        <v>0</v>
      </c>
      <c r="Q175" s="110">
        <v>0</v>
      </c>
      <c r="R175" s="59">
        <v>0</v>
      </c>
      <c r="S175" s="14">
        <v>0</v>
      </c>
      <c r="T175" s="59">
        <v>0</v>
      </c>
      <c r="U175" s="15">
        <f t="shared" si="42"/>
        <v>0</v>
      </c>
      <c r="V175" s="14">
        <v>15</v>
      </c>
      <c r="W175" s="15">
        <f t="shared" si="43"/>
        <v>15</v>
      </c>
      <c r="X175" s="14">
        <v>0</v>
      </c>
      <c r="Y175" s="75">
        <v>0</v>
      </c>
      <c r="Z175" s="87">
        <f t="shared" si="44"/>
        <v>0</v>
      </c>
      <c r="AA175" s="14">
        <f t="shared" si="45"/>
        <v>0</v>
      </c>
      <c r="AB175" s="75">
        <v>0</v>
      </c>
      <c r="AC175" s="75">
        <v>0</v>
      </c>
      <c r="AD175" s="59">
        <f t="shared" si="46"/>
        <v>0</v>
      </c>
      <c r="AE175" s="73">
        <v>0</v>
      </c>
      <c r="AF175" s="73">
        <v>0</v>
      </c>
      <c r="AG175" s="15">
        <f t="shared" si="47"/>
        <v>0</v>
      </c>
      <c r="AH175" s="16">
        <f t="shared" si="48"/>
        <v>0</v>
      </c>
      <c r="AI175" s="17">
        <f t="shared" si="49"/>
        <v>44</v>
      </c>
      <c r="AJ175" s="12">
        <f>VLOOKUP(A175,'PreK Proxy - Sept. 2024'!$A$2:$I$674,9,FALSE)</f>
        <v>39</v>
      </c>
      <c r="AK175" s="18">
        <f t="shared" si="50"/>
        <v>1</v>
      </c>
    </row>
    <row r="176" spans="1:37" x14ac:dyDescent="0.35">
      <c r="A176" s="11" t="s">
        <v>362</v>
      </c>
      <c r="B176" s="12" t="s">
        <v>363</v>
      </c>
      <c r="C176" s="54" t="s">
        <v>1372</v>
      </c>
      <c r="D176" s="54" t="s">
        <v>190</v>
      </c>
      <c r="E176" s="66">
        <f t="shared" si="35"/>
        <v>10</v>
      </c>
      <c r="F176" s="13">
        <f t="shared" si="36"/>
        <v>10</v>
      </c>
      <c r="G176" s="67">
        <f t="shared" si="37"/>
        <v>0</v>
      </c>
      <c r="H176" s="64">
        <f t="shared" si="34"/>
        <v>10</v>
      </c>
      <c r="I176" s="80">
        <v>0</v>
      </c>
      <c r="J176" s="80">
        <v>0</v>
      </c>
      <c r="K176" s="59">
        <f t="shared" si="38"/>
        <v>0</v>
      </c>
      <c r="L176" s="59">
        <v>0</v>
      </c>
      <c r="M176" s="59">
        <v>10</v>
      </c>
      <c r="N176" s="59">
        <f t="shared" si="39"/>
        <v>10</v>
      </c>
      <c r="O176" s="15">
        <f t="shared" si="40"/>
        <v>0</v>
      </c>
      <c r="P176" s="87">
        <f t="shared" si="41"/>
        <v>0</v>
      </c>
      <c r="Q176" s="110">
        <v>0</v>
      </c>
      <c r="R176" s="59">
        <v>0</v>
      </c>
      <c r="S176" s="14">
        <v>0</v>
      </c>
      <c r="T176" s="59">
        <v>0</v>
      </c>
      <c r="U176" s="15">
        <f t="shared" si="42"/>
        <v>0</v>
      </c>
      <c r="V176" s="14">
        <v>0</v>
      </c>
      <c r="W176" s="15">
        <f t="shared" si="43"/>
        <v>0</v>
      </c>
      <c r="X176" s="14">
        <v>0</v>
      </c>
      <c r="Y176" s="75">
        <v>0</v>
      </c>
      <c r="Z176" s="87">
        <f t="shared" si="44"/>
        <v>0</v>
      </c>
      <c r="AA176" s="14">
        <f t="shared" si="45"/>
        <v>0</v>
      </c>
      <c r="AB176" s="75">
        <v>0</v>
      </c>
      <c r="AC176" s="75">
        <v>0</v>
      </c>
      <c r="AD176" s="59">
        <f t="shared" si="46"/>
        <v>0</v>
      </c>
      <c r="AE176" s="73">
        <v>0</v>
      </c>
      <c r="AF176" s="73">
        <v>0</v>
      </c>
      <c r="AG176" s="15">
        <f t="shared" si="47"/>
        <v>0</v>
      </c>
      <c r="AH176" s="16">
        <f t="shared" si="48"/>
        <v>0</v>
      </c>
      <c r="AI176" s="17">
        <f t="shared" si="49"/>
        <v>10</v>
      </c>
      <c r="AJ176" s="12">
        <f>VLOOKUP(A176,'PreK Proxy - Sept. 2024'!$A$2:$I$674,9,FALSE)</f>
        <v>16</v>
      </c>
      <c r="AK176" s="18">
        <f t="shared" si="50"/>
        <v>0.625</v>
      </c>
    </row>
    <row r="177" spans="1:37" x14ac:dyDescent="0.35">
      <c r="A177" s="11" t="s">
        <v>364</v>
      </c>
      <c r="B177" s="12" t="s">
        <v>365</v>
      </c>
      <c r="C177" s="54" t="s">
        <v>1379</v>
      </c>
      <c r="D177" s="54" t="s">
        <v>366</v>
      </c>
      <c r="E177" s="66">
        <f t="shared" si="35"/>
        <v>0</v>
      </c>
      <c r="F177" s="13">
        <f t="shared" si="36"/>
        <v>0</v>
      </c>
      <c r="G177" s="67">
        <f t="shared" si="37"/>
        <v>0</v>
      </c>
      <c r="H177" s="64">
        <f t="shared" si="34"/>
        <v>0</v>
      </c>
      <c r="I177" s="80">
        <v>0</v>
      </c>
      <c r="J177" s="80">
        <v>0</v>
      </c>
      <c r="K177" s="59">
        <f t="shared" si="38"/>
        <v>0</v>
      </c>
      <c r="L177" s="59">
        <v>0</v>
      </c>
      <c r="M177" s="59">
        <v>0</v>
      </c>
      <c r="N177" s="59">
        <f t="shared" si="39"/>
        <v>0</v>
      </c>
      <c r="O177" s="15">
        <f t="shared" si="40"/>
        <v>0</v>
      </c>
      <c r="P177" s="87">
        <f t="shared" si="41"/>
        <v>0</v>
      </c>
      <c r="Q177" s="110">
        <v>0</v>
      </c>
      <c r="R177" s="59">
        <v>0</v>
      </c>
      <c r="S177" s="14">
        <v>0</v>
      </c>
      <c r="T177" s="59">
        <v>0</v>
      </c>
      <c r="U177" s="15">
        <f t="shared" si="42"/>
        <v>0</v>
      </c>
      <c r="V177" s="14">
        <v>0</v>
      </c>
      <c r="W177" s="15">
        <f t="shared" si="43"/>
        <v>0</v>
      </c>
      <c r="X177" s="14">
        <v>0</v>
      </c>
      <c r="Y177" s="75">
        <v>0</v>
      </c>
      <c r="Z177" s="87">
        <f t="shared" si="44"/>
        <v>0</v>
      </c>
      <c r="AA177" s="14">
        <f t="shared" si="45"/>
        <v>0</v>
      </c>
      <c r="AB177" s="75">
        <v>0</v>
      </c>
      <c r="AC177" s="75">
        <v>0</v>
      </c>
      <c r="AD177" s="59">
        <f t="shared" si="46"/>
        <v>0</v>
      </c>
      <c r="AE177" s="73">
        <v>0</v>
      </c>
      <c r="AF177" s="73">
        <v>0</v>
      </c>
      <c r="AG177" s="15">
        <f t="shared" si="47"/>
        <v>0</v>
      </c>
      <c r="AH177" s="16">
        <f t="shared" si="48"/>
        <v>0</v>
      </c>
      <c r="AI177" s="17">
        <f t="shared" si="49"/>
        <v>0</v>
      </c>
      <c r="AJ177" s="12">
        <f>VLOOKUP(A177,'PreK Proxy - Sept. 2024'!$A$2:$I$674,9,FALSE)</f>
        <v>11</v>
      </c>
      <c r="AK177" s="18">
        <f t="shared" si="50"/>
        <v>0</v>
      </c>
    </row>
    <row r="178" spans="1:37" x14ac:dyDescent="0.35">
      <c r="A178" s="11" t="s">
        <v>367</v>
      </c>
      <c r="B178" s="12" t="s">
        <v>368</v>
      </c>
      <c r="C178" s="54" t="s">
        <v>1379</v>
      </c>
      <c r="D178" s="54" t="s">
        <v>366</v>
      </c>
      <c r="E178" s="66">
        <f t="shared" si="35"/>
        <v>102</v>
      </c>
      <c r="F178" s="13">
        <f t="shared" si="36"/>
        <v>102</v>
      </c>
      <c r="G178" s="67">
        <f t="shared" si="37"/>
        <v>0</v>
      </c>
      <c r="H178" s="64">
        <f t="shared" si="34"/>
        <v>48</v>
      </c>
      <c r="I178" s="80">
        <v>0</v>
      </c>
      <c r="J178" s="80">
        <v>0</v>
      </c>
      <c r="K178" s="59">
        <f t="shared" si="38"/>
        <v>0</v>
      </c>
      <c r="L178" s="59">
        <v>0</v>
      </c>
      <c r="M178" s="59">
        <v>48</v>
      </c>
      <c r="N178" s="59">
        <f t="shared" si="39"/>
        <v>48</v>
      </c>
      <c r="O178" s="15">
        <f t="shared" si="40"/>
        <v>0</v>
      </c>
      <c r="P178" s="87">
        <f t="shared" si="41"/>
        <v>0</v>
      </c>
      <c r="Q178" s="110">
        <v>0</v>
      </c>
      <c r="R178" s="59">
        <v>0</v>
      </c>
      <c r="S178" s="14">
        <v>54</v>
      </c>
      <c r="T178" s="59">
        <v>0</v>
      </c>
      <c r="U178" s="15">
        <f t="shared" si="42"/>
        <v>54</v>
      </c>
      <c r="V178" s="14">
        <v>0</v>
      </c>
      <c r="W178" s="15">
        <f t="shared" si="43"/>
        <v>0</v>
      </c>
      <c r="X178" s="14">
        <v>0</v>
      </c>
      <c r="Y178" s="75">
        <v>0</v>
      </c>
      <c r="Z178" s="87">
        <f t="shared" si="44"/>
        <v>0</v>
      </c>
      <c r="AA178" s="14">
        <f t="shared" si="45"/>
        <v>0</v>
      </c>
      <c r="AB178" s="75">
        <v>0</v>
      </c>
      <c r="AC178" s="75">
        <v>0</v>
      </c>
      <c r="AD178" s="59">
        <f t="shared" si="46"/>
        <v>0</v>
      </c>
      <c r="AE178" s="73">
        <v>0</v>
      </c>
      <c r="AF178" s="73">
        <v>0</v>
      </c>
      <c r="AG178" s="15">
        <f t="shared" si="47"/>
        <v>0</v>
      </c>
      <c r="AH178" s="16">
        <f t="shared" si="48"/>
        <v>0</v>
      </c>
      <c r="AI178" s="17">
        <f t="shared" si="49"/>
        <v>102</v>
      </c>
      <c r="AJ178" s="12">
        <f>VLOOKUP(A178,'PreK Proxy - Sept. 2024'!$A$2:$I$674,9,FALSE)</f>
        <v>136</v>
      </c>
      <c r="AK178" s="18">
        <f t="shared" si="50"/>
        <v>0.75</v>
      </c>
    </row>
    <row r="179" spans="1:37" x14ac:dyDescent="0.35">
      <c r="A179" s="11" t="s">
        <v>369</v>
      </c>
      <c r="B179" s="12" t="s">
        <v>370</v>
      </c>
      <c r="C179" s="54" t="s">
        <v>1379</v>
      </c>
      <c r="D179" s="54" t="s">
        <v>366</v>
      </c>
      <c r="E179" s="66">
        <f t="shared" si="35"/>
        <v>52</v>
      </c>
      <c r="F179" s="13">
        <f t="shared" si="36"/>
        <v>52</v>
      </c>
      <c r="G179" s="67">
        <f t="shared" si="37"/>
        <v>0</v>
      </c>
      <c r="H179" s="64">
        <f t="shared" si="34"/>
        <v>34</v>
      </c>
      <c r="I179" s="80">
        <v>0</v>
      </c>
      <c r="J179" s="80">
        <v>0</v>
      </c>
      <c r="K179" s="59">
        <f t="shared" si="38"/>
        <v>0</v>
      </c>
      <c r="L179" s="59">
        <v>0</v>
      </c>
      <c r="M179" s="59">
        <v>34</v>
      </c>
      <c r="N179" s="59">
        <f t="shared" si="39"/>
        <v>34</v>
      </c>
      <c r="O179" s="15">
        <f t="shared" si="40"/>
        <v>0</v>
      </c>
      <c r="P179" s="87">
        <f t="shared" si="41"/>
        <v>0</v>
      </c>
      <c r="Q179" s="110">
        <v>0</v>
      </c>
      <c r="R179" s="59">
        <v>0</v>
      </c>
      <c r="S179" s="14">
        <v>0</v>
      </c>
      <c r="T179" s="59">
        <v>0</v>
      </c>
      <c r="U179" s="15">
        <f t="shared" si="42"/>
        <v>0</v>
      </c>
      <c r="V179" s="14">
        <v>18</v>
      </c>
      <c r="W179" s="15">
        <f t="shared" si="43"/>
        <v>18</v>
      </c>
      <c r="X179" s="14">
        <v>0</v>
      </c>
      <c r="Y179" s="75">
        <v>0</v>
      </c>
      <c r="Z179" s="87">
        <f t="shared" si="44"/>
        <v>0</v>
      </c>
      <c r="AA179" s="14">
        <f t="shared" si="45"/>
        <v>0</v>
      </c>
      <c r="AB179" s="75">
        <v>0</v>
      </c>
      <c r="AC179" s="75">
        <v>0</v>
      </c>
      <c r="AD179" s="59">
        <f t="shared" si="46"/>
        <v>0</v>
      </c>
      <c r="AE179" s="73">
        <v>0</v>
      </c>
      <c r="AF179" s="73">
        <v>0</v>
      </c>
      <c r="AG179" s="15">
        <f t="shared" si="47"/>
        <v>0</v>
      </c>
      <c r="AH179" s="16">
        <f t="shared" si="48"/>
        <v>0</v>
      </c>
      <c r="AI179" s="17">
        <f t="shared" si="49"/>
        <v>52</v>
      </c>
      <c r="AJ179" s="12">
        <f>VLOOKUP(A179,'PreK Proxy - Sept. 2024'!$A$2:$I$674,9,FALSE)</f>
        <v>88</v>
      </c>
      <c r="AK179" s="18">
        <f t="shared" si="50"/>
        <v>0.59090909090909094</v>
      </c>
    </row>
    <row r="180" spans="1:37" x14ac:dyDescent="0.35">
      <c r="A180" s="11" t="s">
        <v>371</v>
      </c>
      <c r="B180" s="12" t="s">
        <v>372</v>
      </c>
      <c r="C180" s="54" t="s">
        <v>1379</v>
      </c>
      <c r="D180" s="54" t="s">
        <v>366</v>
      </c>
      <c r="E180" s="66">
        <f t="shared" si="35"/>
        <v>36</v>
      </c>
      <c r="F180" s="13">
        <f t="shared" si="36"/>
        <v>36</v>
      </c>
      <c r="G180" s="67">
        <f t="shared" si="37"/>
        <v>0</v>
      </c>
      <c r="H180" s="64">
        <f t="shared" si="34"/>
        <v>36</v>
      </c>
      <c r="I180" s="80">
        <v>0</v>
      </c>
      <c r="J180" s="80">
        <v>0</v>
      </c>
      <c r="K180" s="59">
        <f t="shared" si="38"/>
        <v>0</v>
      </c>
      <c r="L180" s="59">
        <v>0</v>
      </c>
      <c r="M180" s="59">
        <v>36</v>
      </c>
      <c r="N180" s="59">
        <f t="shared" si="39"/>
        <v>36</v>
      </c>
      <c r="O180" s="15">
        <f t="shared" si="40"/>
        <v>0</v>
      </c>
      <c r="P180" s="87">
        <f t="shared" si="41"/>
        <v>0</v>
      </c>
      <c r="Q180" s="110">
        <v>0</v>
      </c>
      <c r="R180" s="59">
        <v>0</v>
      </c>
      <c r="S180" s="14">
        <v>0</v>
      </c>
      <c r="T180" s="59">
        <v>0</v>
      </c>
      <c r="U180" s="15">
        <f t="shared" si="42"/>
        <v>0</v>
      </c>
      <c r="V180" s="14">
        <v>0</v>
      </c>
      <c r="W180" s="15">
        <f t="shared" si="43"/>
        <v>0</v>
      </c>
      <c r="X180" s="14">
        <v>0</v>
      </c>
      <c r="Y180" s="75">
        <v>0</v>
      </c>
      <c r="Z180" s="87">
        <f t="shared" si="44"/>
        <v>0</v>
      </c>
      <c r="AA180" s="14">
        <f t="shared" si="45"/>
        <v>0</v>
      </c>
      <c r="AB180" s="75">
        <v>0</v>
      </c>
      <c r="AC180" s="75">
        <v>0</v>
      </c>
      <c r="AD180" s="59">
        <f t="shared" si="46"/>
        <v>0</v>
      </c>
      <c r="AE180" s="73">
        <v>0</v>
      </c>
      <c r="AF180" s="73">
        <v>0</v>
      </c>
      <c r="AG180" s="15">
        <f t="shared" si="47"/>
        <v>0</v>
      </c>
      <c r="AH180" s="16">
        <f t="shared" si="48"/>
        <v>0</v>
      </c>
      <c r="AI180" s="17">
        <f t="shared" si="49"/>
        <v>36</v>
      </c>
      <c r="AJ180" s="12">
        <f>VLOOKUP(A180,'PreK Proxy - Sept. 2024'!$A$2:$I$674,9,FALSE)</f>
        <v>40</v>
      </c>
      <c r="AK180" s="18">
        <f t="shared" si="50"/>
        <v>0.9</v>
      </c>
    </row>
    <row r="181" spans="1:37" x14ac:dyDescent="0.35">
      <c r="A181" s="11" t="s">
        <v>373</v>
      </c>
      <c r="B181" s="12" t="s">
        <v>374</v>
      </c>
      <c r="C181" s="54" t="s">
        <v>1379</v>
      </c>
      <c r="D181" s="54" t="s">
        <v>366</v>
      </c>
      <c r="E181" s="66">
        <f t="shared" si="35"/>
        <v>13</v>
      </c>
      <c r="F181" s="13">
        <f t="shared" si="36"/>
        <v>13</v>
      </c>
      <c r="G181" s="67">
        <f t="shared" si="37"/>
        <v>0</v>
      </c>
      <c r="H181" s="64">
        <f t="shared" si="34"/>
        <v>12</v>
      </c>
      <c r="I181" s="80">
        <v>0</v>
      </c>
      <c r="J181" s="80">
        <v>0</v>
      </c>
      <c r="K181" s="59">
        <f t="shared" si="38"/>
        <v>0</v>
      </c>
      <c r="L181" s="59">
        <v>0</v>
      </c>
      <c r="M181" s="59">
        <v>12</v>
      </c>
      <c r="N181" s="59">
        <f t="shared" si="39"/>
        <v>12</v>
      </c>
      <c r="O181" s="15">
        <f t="shared" si="40"/>
        <v>6</v>
      </c>
      <c r="P181" s="87">
        <f t="shared" si="41"/>
        <v>0</v>
      </c>
      <c r="Q181" s="110">
        <v>0</v>
      </c>
      <c r="R181" s="59">
        <v>0</v>
      </c>
      <c r="S181" s="14">
        <v>0</v>
      </c>
      <c r="T181" s="59">
        <v>0</v>
      </c>
      <c r="U181" s="15">
        <f t="shared" si="42"/>
        <v>0</v>
      </c>
      <c r="V181" s="14">
        <v>0</v>
      </c>
      <c r="W181" s="15">
        <f t="shared" si="43"/>
        <v>0</v>
      </c>
      <c r="X181" s="14">
        <v>1</v>
      </c>
      <c r="Y181" s="75">
        <v>6</v>
      </c>
      <c r="Z181" s="87">
        <f t="shared" si="44"/>
        <v>7</v>
      </c>
      <c r="AA181" s="14">
        <f t="shared" si="45"/>
        <v>0</v>
      </c>
      <c r="AB181" s="75">
        <v>0</v>
      </c>
      <c r="AC181" s="75">
        <v>0</v>
      </c>
      <c r="AD181" s="59">
        <f t="shared" si="46"/>
        <v>0</v>
      </c>
      <c r="AE181" s="73">
        <v>0</v>
      </c>
      <c r="AF181" s="73">
        <v>0</v>
      </c>
      <c r="AG181" s="15">
        <f t="shared" si="47"/>
        <v>0</v>
      </c>
      <c r="AH181" s="16">
        <f t="shared" si="48"/>
        <v>0</v>
      </c>
      <c r="AI181" s="17">
        <f t="shared" si="49"/>
        <v>13</v>
      </c>
      <c r="AJ181" s="12">
        <f>VLOOKUP(A181,'PreK Proxy - Sept. 2024'!$A$2:$I$674,9,FALSE)</f>
        <v>20</v>
      </c>
      <c r="AK181" s="18">
        <f t="shared" si="50"/>
        <v>0.65</v>
      </c>
    </row>
    <row r="182" spans="1:37" x14ac:dyDescent="0.35">
      <c r="A182" s="11" t="s">
        <v>375</v>
      </c>
      <c r="B182" s="12" t="s">
        <v>376</v>
      </c>
      <c r="C182" s="54" t="s">
        <v>1379</v>
      </c>
      <c r="D182" s="54" t="s">
        <v>366</v>
      </c>
      <c r="E182" s="66">
        <f t="shared" si="35"/>
        <v>78</v>
      </c>
      <c r="F182" s="13">
        <f t="shared" si="36"/>
        <v>78</v>
      </c>
      <c r="G182" s="67">
        <f t="shared" si="37"/>
        <v>0</v>
      </c>
      <c r="H182" s="64">
        <f t="shared" si="34"/>
        <v>48</v>
      </c>
      <c r="I182" s="80">
        <v>0</v>
      </c>
      <c r="J182" s="80">
        <v>0</v>
      </c>
      <c r="K182" s="59">
        <f t="shared" si="38"/>
        <v>0</v>
      </c>
      <c r="L182" s="59">
        <v>0</v>
      </c>
      <c r="M182" s="59">
        <v>48</v>
      </c>
      <c r="N182" s="59">
        <f t="shared" si="39"/>
        <v>48</v>
      </c>
      <c r="O182" s="15">
        <f t="shared" si="40"/>
        <v>47</v>
      </c>
      <c r="P182" s="87">
        <f t="shared" si="41"/>
        <v>0</v>
      </c>
      <c r="Q182" s="110">
        <v>0</v>
      </c>
      <c r="R182" s="59">
        <v>0</v>
      </c>
      <c r="S182" s="14">
        <v>30</v>
      </c>
      <c r="T182" s="59">
        <v>47</v>
      </c>
      <c r="U182" s="15">
        <f t="shared" si="42"/>
        <v>77</v>
      </c>
      <c r="V182" s="14">
        <v>0</v>
      </c>
      <c r="W182" s="15">
        <f t="shared" si="43"/>
        <v>0</v>
      </c>
      <c r="X182" s="14">
        <v>0</v>
      </c>
      <c r="Y182" s="75">
        <v>0</v>
      </c>
      <c r="Z182" s="87">
        <f t="shared" si="44"/>
        <v>0</v>
      </c>
      <c r="AA182" s="14">
        <f t="shared" si="45"/>
        <v>0</v>
      </c>
      <c r="AB182" s="75">
        <v>0</v>
      </c>
      <c r="AC182" s="75">
        <v>0</v>
      </c>
      <c r="AD182" s="59">
        <f t="shared" si="46"/>
        <v>0</v>
      </c>
      <c r="AE182" s="73">
        <v>0</v>
      </c>
      <c r="AF182" s="73">
        <v>0</v>
      </c>
      <c r="AG182" s="15">
        <f t="shared" si="47"/>
        <v>0</v>
      </c>
      <c r="AH182" s="16">
        <f t="shared" si="48"/>
        <v>0</v>
      </c>
      <c r="AI182" s="17">
        <f t="shared" si="49"/>
        <v>78</v>
      </c>
      <c r="AJ182" s="12">
        <f>VLOOKUP(A182,'PreK Proxy - Sept. 2024'!$A$2:$I$674,9,FALSE)</f>
        <v>71</v>
      </c>
      <c r="AK182" s="18">
        <f t="shared" si="50"/>
        <v>1</v>
      </c>
    </row>
    <row r="183" spans="1:37" x14ac:dyDescent="0.35">
      <c r="A183" s="11" t="s">
        <v>377</v>
      </c>
      <c r="B183" s="12" t="s">
        <v>378</v>
      </c>
      <c r="C183" s="54" t="s">
        <v>1424</v>
      </c>
      <c r="D183" s="54" t="s">
        <v>379</v>
      </c>
      <c r="E183" s="66">
        <f t="shared" si="35"/>
        <v>32</v>
      </c>
      <c r="F183" s="13">
        <f t="shared" si="36"/>
        <v>32</v>
      </c>
      <c r="G183" s="67">
        <f t="shared" si="37"/>
        <v>0</v>
      </c>
      <c r="H183" s="64">
        <f t="shared" si="34"/>
        <v>32</v>
      </c>
      <c r="I183" s="80">
        <v>0</v>
      </c>
      <c r="J183" s="80">
        <v>0</v>
      </c>
      <c r="K183" s="59">
        <f t="shared" si="38"/>
        <v>0</v>
      </c>
      <c r="L183" s="59">
        <v>0</v>
      </c>
      <c r="M183" s="59">
        <v>32</v>
      </c>
      <c r="N183" s="59">
        <f t="shared" si="39"/>
        <v>32</v>
      </c>
      <c r="O183" s="15">
        <f t="shared" si="40"/>
        <v>0</v>
      </c>
      <c r="P183" s="87">
        <f t="shared" si="41"/>
        <v>0</v>
      </c>
      <c r="Q183" s="110">
        <v>0</v>
      </c>
      <c r="R183" s="59">
        <v>0</v>
      </c>
      <c r="S183" s="14">
        <v>0</v>
      </c>
      <c r="T183" s="59">
        <v>0</v>
      </c>
      <c r="U183" s="15">
        <f t="shared" si="42"/>
        <v>0</v>
      </c>
      <c r="V183" s="14">
        <v>0</v>
      </c>
      <c r="W183" s="15">
        <f t="shared" si="43"/>
        <v>0</v>
      </c>
      <c r="X183" s="14">
        <v>0</v>
      </c>
      <c r="Y183" s="75">
        <v>0</v>
      </c>
      <c r="Z183" s="87">
        <f t="shared" si="44"/>
        <v>0</v>
      </c>
      <c r="AA183" s="14">
        <f t="shared" si="45"/>
        <v>0</v>
      </c>
      <c r="AB183" s="75">
        <v>0</v>
      </c>
      <c r="AC183" s="75">
        <v>0</v>
      </c>
      <c r="AD183" s="59">
        <f t="shared" si="46"/>
        <v>0</v>
      </c>
      <c r="AE183" s="73">
        <v>0</v>
      </c>
      <c r="AF183" s="73">
        <v>0</v>
      </c>
      <c r="AG183" s="15">
        <f t="shared" si="47"/>
        <v>0</v>
      </c>
      <c r="AH183" s="16">
        <f t="shared" si="48"/>
        <v>0</v>
      </c>
      <c r="AI183" s="17">
        <f t="shared" si="49"/>
        <v>32</v>
      </c>
      <c r="AJ183" s="12">
        <f>VLOOKUP(A183,'PreK Proxy - Sept. 2024'!$A$2:$I$674,9,FALSE)</f>
        <v>32</v>
      </c>
      <c r="AK183" s="18">
        <f t="shared" si="50"/>
        <v>1</v>
      </c>
    </row>
    <row r="184" spans="1:37" x14ac:dyDescent="0.35">
      <c r="A184" s="11" t="s">
        <v>380</v>
      </c>
      <c r="B184" s="12" t="s">
        <v>381</v>
      </c>
      <c r="C184" s="54" t="s">
        <v>1424</v>
      </c>
      <c r="D184" s="54" t="s">
        <v>379</v>
      </c>
      <c r="E184" s="66">
        <f t="shared" si="35"/>
        <v>108</v>
      </c>
      <c r="F184" s="13">
        <f t="shared" si="36"/>
        <v>95</v>
      </c>
      <c r="G184" s="67">
        <f t="shared" si="37"/>
        <v>13</v>
      </c>
      <c r="H184" s="64">
        <f t="shared" si="34"/>
        <v>88</v>
      </c>
      <c r="I184" s="80">
        <v>0</v>
      </c>
      <c r="J184" s="80">
        <v>13</v>
      </c>
      <c r="K184" s="59">
        <f t="shared" si="38"/>
        <v>13</v>
      </c>
      <c r="L184" s="59">
        <v>0</v>
      </c>
      <c r="M184" s="59">
        <v>75</v>
      </c>
      <c r="N184" s="59">
        <f t="shared" si="39"/>
        <v>75</v>
      </c>
      <c r="O184" s="15">
        <f t="shared" si="40"/>
        <v>0</v>
      </c>
      <c r="P184" s="87">
        <f t="shared" si="41"/>
        <v>0</v>
      </c>
      <c r="Q184" s="110">
        <v>0</v>
      </c>
      <c r="R184" s="59">
        <v>0</v>
      </c>
      <c r="S184" s="14">
        <v>0</v>
      </c>
      <c r="T184" s="59">
        <v>0</v>
      </c>
      <c r="U184" s="15">
        <f t="shared" si="42"/>
        <v>0</v>
      </c>
      <c r="V184" s="14">
        <v>0</v>
      </c>
      <c r="W184" s="15">
        <f t="shared" si="43"/>
        <v>0</v>
      </c>
      <c r="X184" s="14">
        <v>20</v>
      </c>
      <c r="Y184" s="75">
        <v>0</v>
      </c>
      <c r="Z184" s="87">
        <f t="shared" si="44"/>
        <v>20</v>
      </c>
      <c r="AA184" s="14">
        <f t="shared" si="45"/>
        <v>0</v>
      </c>
      <c r="AB184" s="75">
        <v>0</v>
      </c>
      <c r="AC184" s="75">
        <v>0</v>
      </c>
      <c r="AD184" s="59">
        <f t="shared" si="46"/>
        <v>0</v>
      </c>
      <c r="AE184" s="73">
        <v>0</v>
      </c>
      <c r="AF184" s="73">
        <v>0</v>
      </c>
      <c r="AG184" s="15">
        <f t="shared" si="47"/>
        <v>0</v>
      </c>
      <c r="AH184" s="16">
        <f t="shared" si="48"/>
        <v>13</v>
      </c>
      <c r="AI184" s="17">
        <f t="shared" si="49"/>
        <v>95</v>
      </c>
      <c r="AJ184" s="12">
        <f>VLOOKUP(A184,'PreK Proxy - Sept. 2024'!$A$2:$I$674,9,FALSE)</f>
        <v>143</v>
      </c>
      <c r="AK184" s="18">
        <f t="shared" si="50"/>
        <v>0.75524475524475521</v>
      </c>
    </row>
    <row r="185" spans="1:37" x14ac:dyDescent="0.35">
      <c r="A185" s="11" t="s">
        <v>382</v>
      </c>
      <c r="B185" s="12" t="s">
        <v>383</v>
      </c>
      <c r="C185" s="54" t="s">
        <v>1424</v>
      </c>
      <c r="D185" s="54" t="s">
        <v>379</v>
      </c>
      <c r="E185" s="66">
        <f t="shared" si="35"/>
        <v>36</v>
      </c>
      <c r="F185" s="13">
        <f t="shared" si="36"/>
        <v>12</v>
      </c>
      <c r="G185" s="67">
        <f t="shared" si="37"/>
        <v>24</v>
      </c>
      <c r="H185" s="64">
        <f t="shared" si="34"/>
        <v>36</v>
      </c>
      <c r="I185" s="80">
        <v>0</v>
      </c>
      <c r="J185" s="80">
        <v>24</v>
      </c>
      <c r="K185" s="59">
        <f t="shared" si="38"/>
        <v>24</v>
      </c>
      <c r="L185" s="59">
        <v>0</v>
      </c>
      <c r="M185" s="59">
        <v>12</v>
      </c>
      <c r="N185" s="59">
        <f t="shared" si="39"/>
        <v>12</v>
      </c>
      <c r="O185" s="15">
        <f t="shared" si="40"/>
        <v>0</v>
      </c>
      <c r="P185" s="87">
        <f t="shared" si="41"/>
        <v>0</v>
      </c>
      <c r="Q185" s="110">
        <v>0</v>
      </c>
      <c r="R185" s="59">
        <v>0</v>
      </c>
      <c r="S185" s="14">
        <v>0</v>
      </c>
      <c r="T185" s="59">
        <v>0</v>
      </c>
      <c r="U185" s="15">
        <f t="shared" si="42"/>
        <v>0</v>
      </c>
      <c r="V185" s="14">
        <v>0</v>
      </c>
      <c r="W185" s="15">
        <f t="shared" si="43"/>
        <v>0</v>
      </c>
      <c r="X185" s="14">
        <v>0</v>
      </c>
      <c r="Y185" s="75">
        <v>0</v>
      </c>
      <c r="Z185" s="87">
        <f t="shared" si="44"/>
        <v>0</v>
      </c>
      <c r="AA185" s="14">
        <f t="shared" si="45"/>
        <v>0</v>
      </c>
      <c r="AB185" s="75">
        <v>0</v>
      </c>
      <c r="AC185" s="75">
        <v>0</v>
      </c>
      <c r="AD185" s="59">
        <f t="shared" si="46"/>
        <v>0</v>
      </c>
      <c r="AE185" s="73">
        <v>0</v>
      </c>
      <c r="AF185" s="73">
        <v>0</v>
      </c>
      <c r="AG185" s="15">
        <f t="shared" si="47"/>
        <v>0</v>
      </c>
      <c r="AH185" s="16">
        <f t="shared" si="48"/>
        <v>24</v>
      </c>
      <c r="AI185" s="17">
        <f t="shared" si="49"/>
        <v>12</v>
      </c>
      <c r="AJ185" s="12">
        <f>VLOOKUP(A185,'PreK Proxy - Sept. 2024'!$A$2:$I$674,9,FALSE)</f>
        <v>35</v>
      </c>
      <c r="AK185" s="18">
        <f t="shared" si="50"/>
        <v>1</v>
      </c>
    </row>
    <row r="186" spans="1:37" x14ac:dyDescent="0.35">
      <c r="A186" s="11" t="s">
        <v>384</v>
      </c>
      <c r="B186" s="12" t="s">
        <v>385</v>
      </c>
      <c r="C186" s="54" t="s">
        <v>1424</v>
      </c>
      <c r="D186" s="54" t="s">
        <v>379</v>
      </c>
      <c r="E186" s="66">
        <f t="shared" si="35"/>
        <v>35</v>
      </c>
      <c r="F186" s="13">
        <f t="shared" si="36"/>
        <v>35</v>
      </c>
      <c r="G186" s="67">
        <f t="shared" si="37"/>
        <v>0</v>
      </c>
      <c r="H186" s="64">
        <f t="shared" si="34"/>
        <v>15</v>
      </c>
      <c r="I186" s="80">
        <v>0</v>
      </c>
      <c r="J186" s="80">
        <v>0</v>
      </c>
      <c r="K186" s="59">
        <f t="shared" si="38"/>
        <v>0</v>
      </c>
      <c r="L186" s="59">
        <v>0</v>
      </c>
      <c r="M186" s="59">
        <v>15</v>
      </c>
      <c r="N186" s="59">
        <f t="shared" si="39"/>
        <v>15</v>
      </c>
      <c r="O186" s="15">
        <f t="shared" si="40"/>
        <v>0</v>
      </c>
      <c r="P186" s="87">
        <f t="shared" si="41"/>
        <v>0</v>
      </c>
      <c r="Q186" s="110">
        <v>0</v>
      </c>
      <c r="R186" s="59">
        <v>0</v>
      </c>
      <c r="S186" s="14">
        <v>0</v>
      </c>
      <c r="T186" s="59">
        <v>0</v>
      </c>
      <c r="U186" s="15">
        <f t="shared" si="42"/>
        <v>0</v>
      </c>
      <c r="V186" s="14">
        <v>0</v>
      </c>
      <c r="W186" s="15">
        <f t="shared" si="43"/>
        <v>0</v>
      </c>
      <c r="X186" s="14">
        <v>20</v>
      </c>
      <c r="Y186" s="75">
        <v>0</v>
      </c>
      <c r="Z186" s="87">
        <f t="shared" si="44"/>
        <v>20</v>
      </c>
      <c r="AA186" s="14">
        <f t="shared" si="45"/>
        <v>0</v>
      </c>
      <c r="AB186" s="75">
        <v>0</v>
      </c>
      <c r="AC186" s="75">
        <v>0</v>
      </c>
      <c r="AD186" s="59">
        <f t="shared" si="46"/>
        <v>0</v>
      </c>
      <c r="AE186" s="73">
        <v>0</v>
      </c>
      <c r="AF186" s="73">
        <v>0</v>
      </c>
      <c r="AG186" s="15">
        <f t="shared" si="47"/>
        <v>0</v>
      </c>
      <c r="AH186" s="16">
        <f t="shared" si="48"/>
        <v>0</v>
      </c>
      <c r="AI186" s="17">
        <f t="shared" si="49"/>
        <v>35</v>
      </c>
      <c r="AJ186" s="12">
        <f>VLOOKUP(A186,'PreK Proxy - Sept. 2024'!$A$2:$I$674,9,FALSE)</f>
        <v>24</v>
      </c>
      <c r="AK186" s="18">
        <f t="shared" si="50"/>
        <v>1</v>
      </c>
    </row>
    <row r="187" spans="1:37" x14ac:dyDescent="0.35">
      <c r="A187" s="11" t="s">
        <v>386</v>
      </c>
      <c r="B187" s="12" t="s">
        <v>387</v>
      </c>
      <c r="C187" s="54" t="s">
        <v>1424</v>
      </c>
      <c r="D187" s="54" t="s">
        <v>379</v>
      </c>
      <c r="E187" s="66">
        <f t="shared" si="35"/>
        <v>35</v>
      </c>
      <c r="F187" s="13">
        <f t="shared" si="36"/>
        <v>33</v>
      </c>
      <c r="G187" s="67">
        <f t="shared" si="37"/>
        <v>2</v>
      </c>
      <c r="H187" s="64">
        <f t="shared" si="34"/>
        <v>33</v>
      </c>
      <c r="I187" s="80">
        <v>0</v>
      </c>
      <c r="J187" s="80">
        <v>1</v>
      </c>
      <c r="K187" s="59">
        <f t="shared" si="38"/>
        <v>1</v>
      </c>
      <c r="L187" s="59">
        <v>0</v>
      </c>
      <c r="M187" s="59">
        <v>32</v>
      </c>
      <c r="N187" s="59">
        <f t="shared" si="39"/>
        <v>32</v>
      </c>
      <c r="O187" s="15">
        <f t="shared" si="40"/>
        <v>0</v>
      </c>
      <c r="P187" s="87">
        <f t="shared" si="41"/>
        <v>2</v>
      </c>
      <c r="Q187" s="110">
        <v>1</v>
      </c>
      <c r="R187" s="59">
        <v>1</v>
      </c>
      <c r="S187" s="14">
        <v>0</v>
      </c>
      <c r="T187" s="59">
        <v>0</v>
      </c>
      <c r="U187" s="15">
        <f t="shared" si="42"/>
        <v>0</v>
      </c>
      <c r="V187" s="14">
        <v>0</v>
      </c>
      <c r="W187" s="15">
        <f t="shared" si="43"/>
        <v>0</v>
      </c>
      <c r="X187" s="14">
        <v>0</v>
      </c>
      <c r="Y187" s="75">
        <v>0</v>
      </c>
      <c r="Z187" s="87">
        <f t="shared" si="44"/>
        <v>0</v>
      </c>
      <c r="AA187" s="14">
        <f t="shared" si="45"/>
        <v>0</v>
      </c>
      <c r="AB187" s="75">
        <v>0</v>
      </c>
      <c r="AC187" s="75">
        <v>0</v>
      </c>
      <c r="AD187" s="59">
        <f t="shared" si="46"/>
        <v>0</v>
      </c>
      <c r="AE187" s="73">
        <v>0</v>
      </c>
      <c r="AF187" s="73">
        <v>0</v>
      </c>
      <c r="AG187" s="15">
        <f t="shared" si="47"/>
        <v>0</v>
      </c>
      <c r="AH187" s="16">
        <f t="shared" si="48"/>
        <v>2</v>
      </c>
      <c r="AI187" s="17">
        <f t="shared" si="49"/>
        <v>33</v>
      </c>
      <c r="AJ187" s="12">
        <f>VLOOKUP(A187,'PreK Proxy - Sept. 2024'!$A$2:$I$674,9,FALSE)</f>
        <v>62</v>
      </c>
      <c r="AK187" s="18">
        <f t="shared" si="50"/>
        <v>0.56451612903225812</v>
      </c>
    </row>
    <row r="188" spans="1:37" x14ac:dyDescent="0.35">
      <c r="A188" s="11" t="s">
        <v>388</v>
      </c>
      <c r="B188" s="12" t="s">
        <v>389</v>
      </c>
      <c r="C188" s="54" t="s">
        <v>1424</v>
      </c>
      <c r="D188" s="54" t="s">
        <v>379</v>
      </c>
      <c r="E188" s="66">
        <f t="shared" si="35"/>
        <v>32</v>
      </c>
      <c r="F188" s="13">
        <f t="shared" si="36"/>
        <v>32</v>
      </c>
      <c r="G188" s="67">
        <f t="shared" si="37"/>
        <v>0</v>
      </c>
      <c r="H188" s="64">
        <f t="shared" si="34"/>
        <v>32</v>
      </c>
      <c r="I188" s="80">
        <v>0</v>
      </c>
      <c r="J188" s="80">
        <v>0</v>
      </c>
      <c r="K188" s="59">
        <f t="shared" si="38"/>
        <v>0</v>
      </c>
      <c r="L188" s="59">
        <v>0</v>
      </c>
      <c r="M188" s="59">
        <v>32</v>
      </c>
      <c r="N188" s="59">
        <f t="shared" si="39"/>
        <v>32</v>
      </c>
      <c r="O188" s="15">
        <f t="shared" si="40"/>
        <v>0</v>
      </c>
      <c r="P188" s="87">
        <f t="shared" si="41"/>
        <v>0</v>
      </c>
      <c r="Q188" s="110">
        <v>0</v>
      </c>
      <c r="R188" s="59">
        <v>0</v>
      </c>
      <c r="S188" s="14">
        <v>0</v>
      </c>
      <c r="T188" s="59">
        <v>0</v>
      </c>
      <c r="U188" s="15">
        <f t="shared" si="42"/>
        <v>0</v>
      </c>
      <c r="V188" s="14">
        <v>0</v>
      </c>
      <c r="W188" s="15">
        <f t="shared" si="43"/>
        <v>0</v>
      </c>
      <c r="X188" s="14">
        <v>0</v>
      </c>
      <c r="Y188" s="75">
        <v>0</v>
      </c>
      <c r="Z188" s="87">
        <f t="shared" si="44"/>
        <v>0</v>
      </c>
      <c r="AA188" s="14">
        <f t="shared" si="45"/>
        <v>0</v>
      </c>
      <c r="AB188" s="75">
        <v>0</v>
      </c>
      <c r="AC188" s="75">
        <v>0</v>
      </c>
      <c r="AD188" s="59">
        <f t="shared" si="46"/>
        <v>0</v>
      </c>
      <c r="AE188" s="73">
        <v>0</v>
      </c>
      <c r="AF188" s="73">
        <v>0</v>
      </c>
      <c r="AG188" s="15">
        <f t="shared" si="47"/>
        <v>0</v>
      </c>
      <c r="AH188" s="16">
        <f t="shared" si="48"/>
        <v>0</v>
      </c>
      <c r="AI188" s="17">
        <f t="shared" si="49"/>
        <v>32</v>
      </c>
      <c r="AJ188" s="12">
        <f>VLOOKUP(A188,'PreK Proxy - Sept. 2024'!$A$2:$I$674,9,FALSE)</f>
        <v>34</v>
      </c>
      <c r="AK188" s="18">
        <f t="shared" si="50"/>
        <v>0.94117647058823528</v>
      </c>
    </row>
    <row r="189" spans="1:37" x14ac:dyDescent="0.35">
      <c r="A189" s="11" t="s">
        <v>390</v>
      </c>
      <c r="B189" s="12" t="s">
        <v>391</v>
      </c>
      <c r="C189" s="54" t="s">
        <v>1424</v>
      </c>
      <c r="D189" s="54" t="s">
        <v>379</v>
      </c>
      <c r="E189" s="66">
        <f t="shared" si="35"/>
        <v>34</v>
      </c>
      <c r="F189" s="13">
        <f t="shared" si="36"/>
        <v>34</v>
      </c>
      <c r="G189" s="67">
        <f t="shared" si="37"/>
        <v>0</v>
      </c>
      <c r="H189" s="64">
        <f t="shared" si="34"/>
        <v>34</v>
      </c>
      <c r="I189" s="80">
        <v>0</v>
      </c>
      <c r="J189" s="80">
        <v>0</v>
      </c>
      <c r="K189" s="59">
        <f t="shared" si="38"/>
        <v>0</v>
      </c>
      <c r="L189" s="59">
        <v>0</v>
      </c>
      <c r="M189" s="59">
        <v>34</v>
      </c>
      <c r="N189" s="59">
        <f t="shared" si="39"/>
        <v>34</v>
      </c>
      <c r="O189" s="15">
        <f t="shared" si="40"/>
        <v>0</v>
      </c>
      <c r="P189" s="87">
        <f t="shared" si="41"/>
        <v>0</v>
      </c>
      <c r="Q189" s="110">
        <v>0</v>
      </c>
      <c r="R189" s="59">
        <v>0</v>
      </c>
      <c r="S189" s="14">
        <v>0</v>
      </c>
      <c r="T189" s="59">
        <v>0</v>
      </c>
      <c r="U189" s="15">
        <f t="shared" si="42"/>
        <v>0</v>
      </c>
      <c r="V189" s="14">
        <v>0</v>
      </c>
      <c r="W189" s="15">
        <f t="shared" si="43"/>
        <v>0</v>
      </c>
      <c r="X189" s="14">
        <v>0</v>
      </c>
      <c r="Y189" s="75">
        <v>0</v>
      </c>
      <c r="Z189" s="87">
        <f t="shared" si="44"/>
        <v>0</v>
      </c>
      <c r="AA189" s="14">
        <f t="shared" si="45"/>
        <v>0</v>
      </c>
      <c r="AB189" s="75">
        <v>0</v>
      </c>
      <c r="AC189" s="75">
        <v>0</v>
      </c>
      <c r="AD189" s="59">
        <f t="shared" si="46"/>
        <v>0</v>
      </c>
      <c r="AE189" s="73">
        <v>0</v>
      </c>
      <c r="AF189" s="73">
        <v>0</v>
      </c>
      <c r="AG189" s="15">
        <f t="shared" si="47"/>
        <v>0</v>
      </c>
      <c r="AH189" s="16">
        <f t="shared" si="48"/>
        <v>0</v>
      </c>
      <c r="AI189" s="17">
        <f t="shared" si="49"/>
        <v>34</v>
      </c>
      <c r="AJ189" s="12">
        <f>VLOOKUP(A189,'PreK Proxy - Sept. 2024'!$A$2:$I$674,9,FALSE)</f>
        <v>37</v>
      </c>
      <c r="AK189" s="18">
        <f t="shared" si="50"/>
        <v>0.91891891891891897</v>
      </c>
    </row>
    <row r="190" spans="1:37" x14ac:dyDescent="0.35">
      <c r="A190" s="11" t="s">
        <v>392</v>
      </c>
      <c r="B190" s="12" t="s">
        <v>393</v>
      </c>
      <c r="C190" s="54" t="s">
        <v>1424</v>
      </c>
      <c r="D190" s="54" t="s">
        <v>379</v>
      </c>
      <c r="E190" s="66">
        <f t="shared" si="35"/>
        <v>54</v>
      </c>
      <c r="F190" s="13">
        <f t="shared" si="36"/>
        <v>54</v>
      </c>
      <c r="G190" s="67">
        <f t="shared" si="37"/>
        <v>0</v>
      </c>
      <c r="H190" s="64">
        <f t="shared" si="34"/>
        <v>53</v>
      </c>
      <c r="I190" s="80">
        <v>0</v>
      </c>
      <c r="J190" s="80">
        <v>0</v>
      </c>
      <c r="K190" s="59">
        <f t="shared" si="38"/>
        <v>0</v>
      </c>
      <c r="L190" s="59">
        <v>0</v>
      </c>
      <c r="M190" s="59">
        <v>53</v>
      </c>
      <c r="N190" s="59">
        <f t="shared" si="39"/>
        <v>53</v>
      </c>
      <c r="O190" s="15">
        <f t="shared" si="40"/>
        <v>53</v>
      </c>
      <c r="P190" s="87">
        <f t="shared" si="41"/>
        <v>0</v>
      </c>
      <c r="Q190" s="110">
        <v>0</v>
      </c>
      <c r="R190" s="59">
        <v>0</v>
      </c>
      <c r="S190" s="14">
        <v>0</v>
      </c>
      <c r="T190" s="59">
        <v>0</v>
      </c>
      <c r="U190" s="15">
        <f t="shared" si="42"/>
        <v>0</v>
      </c>
      <c r="V190" s="14">
        <v>0</v>
      </c>
      <c r="W190" s="15">
        <f t="shared" si="43"/>
        <v>0</v>
      </c>
      <c r="X190" s="14">
        <v>1</v>
      </c>
      <c r="Y190" s="75">
        <v>53</v>
      </c>
      <c r="Z190" s="87">
        <f t="shared" si="44"/>
        <v>54</v>
      </c>
      <c r="AA190" s="14">
        <f t="shared" si="45"/>
        <v>0</v>
      </c>
      <c r="AB190" s="75">
        <v>0</v>
      </c>
      <c r="AC190" s="75">
        <v>0</v>
      </c>
      <c r="AD190" s="59">
        <f t="shared" si="46"/>
        <v>0</v>
      </c>
      <c r="AE190" s="73">
        <v>0</v>
      </c>
      <c r="AF190" s="73">
        <v>0</v>
      </c>
      <c r="AG190" s="15">
        <f t="shared" si="47"/>
        <v>0</v>
      </c>
      <c r="AH190" s="16">
        <f t="shared" si="48"/>
        <v>0</v>
      </c>
      <c r="AI190" s="17">
        <f t="shared" si="49"/>
        <v>54</v>
      </c>
      <c r="AJ190" s="12">
        <f>VLOOKUP(A190,'PreK Proxy - Sept. 2024'!$A$2:$I$674,9,FALSE)</f>
        <v>51</v>
      </c>
      <c r="AK190" s="18">
        <f t="shared" si="50"/>
        <v>1</v>
      </c>
    </row>
    <row r="191" spans="1:37" x14ac:dyDescent="0.35">
      <c r="A191" s="11" t="s">
        <v>394</v>
      </c>
      <c r="B191" s="12" t="s">
        <v>395</v>
      </c>
      <c r="C191" s="54" t="s">
        <v>1370</v>
      </c>
      <c r="D191" s="54" t="s">
        <v>18</v>
      </c>
      <c r="E191" s="66">
        <f t="shared" si="35"/>
        <v>46</v>
      </c>
      <c r="F191" s="13">
        <f t="shared" si="36"/>
        <v>18</v>
      </c>
      <c r="G191" s="67">
        <f t="shared" si="37"/>
        <v>28</v>
      </c>
      <c r="H191" s="64">
        <f t="shared" si="34"/>
        <v>18</v>
      </c>
      <c r="I191" s="80">
        <v>0</v>
      </c>
      <c r="J191" s="80">
        <v>18</v>
      </c>
      <c r="K191" s="59">
        <f t="shared" si="38"/>
        <v>18</v>
      </c>
      <c r="L191" s="59">
        <v>0</v>
      </c>
      <c r="M191" s="59">
        <v>0</v>
      </c>
      <c r="N191" s="59">
        <f t="shared" si="39"/>
        <v>0</v>
      </c>
      <c r="O191" s="15">
        <f t="shared" si="40"/>
        <v>0</v>
      </c>
      <c r="P191" s="87">
        <f t="shared" si="41"/>
        <v>28</v>
      </c>
      <c r="Q191" s="110">
        <v>10</v>
      </c>
      <c r="R191" s="59">
        <v>18</v>
      </c>
      <c r="S191" s="14">
        <v>0</v>
      </c>
      <c r="T191" s="59">
        <v>0</v>
      </c>
      <c r="U191" s="15">
        <f t="shared" si="42"/>
        <v>0</v>
      </c>
      <c r="V191" s="14">
        <v>0</v>
      </c>
      <c r="W191" s="15">
        <f t="shared" si="43"/>
        <v>0</v>
      </c>
      <c r="X191" s="14">
        <v>0</v>
      </c>
      <c r="Y191" s="75">
        <v>0</v>
      </c>
      <c r="Z191" s="87">
        <f t="shared" si="44"/>
        <v>0</v>
      </c>
      <c r="AA191" s="14">
        <f t="shared" si="45"/>
        <v>0</v>
      </c>
      <c r="AB191" s="75">
        <v>0</v>
      </c>
      <c r="AC191" s="75">
        <v>0</v>
      </c>
      <c r="AD191" s="59">
        <f t="shared" si="46"/>
        <v>0</v>
      </c>
      <c r="AE191" s="73">
        <v>0</v>
      </c>
      <c r="AF191" s="73">
        <v>0</v>
      </c>
      <c r="AG191" s="15">
        <f t="shared" si="47"/>
        <v>0</v>
      </c>
      <c r="AH191" s="16">
        <f t="shared" si="48"/>
        <v>28</v>
      </c>
      <c r="AI191" s="17">
        <f t="shared" si="49"/>
        <v>18</v>
      </c>
      <c r="AJ191" s="12">
        <f>VLOOKUP(A191,'PreK Proxy - Sept. 2024'!$A$2:$I$674,9,FALSE)</f>
        <v>60</v>
      </c>
      <c r="AK191" s="18">
        <f t="shared" si="50"/>
        <v>0.76666666666666672</v>
      </c>
    </row>
    <row r="192" spans="1:37" x14ac:dyDescent="0.35">
      <c r="A192" s="11" t="s">
        <v>396</v>
      </c>
      <c r="B192" s="12" t="s">
        <v>397</v>
      </c>
      <c r="C192" s="54" t="s">
        <v>1370</v>
      </c>
      <c r="D192" s="54" t="s">
        <v>18</v>
      </c>
      <c r="E192" s="66">
        <f t="shared" si="35"/>
        <v>44</v>
      </c>
      <c r="F192" s="13">
        <f t="shared" si="36"/>
        <v>44</v>
      </c>
      <c r="G192" s="67">
        <f t="shared" si="37"/>
        <v>0</v>
      </c>
      <c r="H192" s="64">
        <f t="shared" si="34"/>
        <v>44</v>
      </c>
      <c r="I192" s="80">
        <v>0</v>
      </c>
      <c r="J192" s="80">
        <v>0</v>
      </c>
      <c r="K192" s="59">
        <f t="shared" si="38"/>
        <v>0</v>
      </c>
      <c r="L192" s="59">
        <v>0</v>
      </c>
      <c r="M192" s="59">
        <v>44</v>
      </c>
      <c r="N192" s="59">
        <f t="shared" si="39"/>
        <v>44</v>
      </c>
      <c r="O192" s="15">
        <f t="shared" si="40"/>
        <v>0</v>
      </c>
      <c r="P192" s="87">
        <f t="shared" si="41"/>
        <v>0</v>
      </c>
      <c r="Q192" s="110">
        <v>0</v>
      </c>
      <c r="R192" s="59">
        <v>0</v>
      </c>
      <c r="S192" s="14">
        <v>0</v>
      </c>
      <c r="T192" s="59">
        <v>0</v>
      </c>
      <c r="U192" s="15">
        <f t="shared" si="42"/>
        <v>0</v>
      </c>
      <c r="V192" s="14">
        <v>0</v>
      </c>
      <c r="W192" s="15">
        <f t="shared" si="43"/>
        <v>0</v>
      </c>
      <c r="X192" s="14">
        <v>0</v>
      </c>
      <c r="Y192" s="75">
        <v>0</v>
      </c>
      <c r="Z192" s="87">
        <f t="shared" si="44"/>
        <v>0</v>
      </c>
      <c r="AA192" s="14">
        <f t="shared" si="45"/>
        <v>0</v>
      </c>
      <c r="AB192" s="75">
        <v>0</v>
      </c>
      <c r="AC192" s="75">
        <v>0</v>
      </c>
      <c r="AD192" s="59">
        <f t="shared" si="46"/>
        <v>0</v>
      </c>
      <c r="AE192" s="73">
        <v>0</v>
      </c>
      <c r="AF192" s="73">
        <v>0</v>
      </c>
      <c r="AG192" s="15">
        <f t="shared" si="47"/>
        <v>0</v>
      </c>
      <c r="AH192" s="16">
        <f t="shared" si="48"/>
        <v>0</v>
      </c>
      <c r="AI192" s="17">
        <f t="shared" si="49"/>
        <v>44</v>
      </c>
      <c r="AJ192" s="12">
        <f>VLOOKUP(A192,'PreK Proxy - Sept. 2024'!$A$2:$I$674,9,FALSE)</f>
        <v>87</v>
      </c>
      <c r="AK192" s="18">
        <f t="shared" si="50"/>
        <v>0.50574712643678166</v>
      </c>
    </row>
    <row r="193" spans="1:37" x14ac:dyDescent="0.35">
      <c r="A193" s="11" t="s">
        <v>398</v>
      </c>
      <c r="B193" s="12" t="s">
        <v>399</v>
      </c>
      <c r="C193" s="54" t="s">
        <v>1370</v>
      </c>
      <c r="D193" s="54" t="s">
        <v>18</v>
      </c>
      <c r="E193" s="66">
        <f t="shared" si="35"/>
        <v>50</v>
      </c>
      <c r="F193" s="13">
        <f t="shared" si="36"/>
        <v>50</v>
      </c>
      <c r="G193" s="67">
        <f t="shared" si="37"/>
        <v>0</v>
      </c>
      <c r="H193" s="64">
        <f t="shared" si="34"/>
        <v>2</v>
      </c>
      <c r="I193" s="80">
        <v>0</v>
      </c>
      <c r="J193" s="80">
        <v>0</v>
      </c>
      <c r="K193" s="59">
        <f t="shared" si="38"/>
        <v>0</v>
      </c>
      <c r="L193" s="59">
        <v>2</v>
      </c>
      <c r="M193" s="59">
        <v>0</v>
      </c>
      <c r="N193" s="59">
        <f t="shared" si="39"/>
        <v>2</v>
      </c>
      <c r="O193" s="15">
        <f t="shared" si="40"/>
        <v>0</v>
      </c>
      <c r="P193" s="87">
        <f t="shared" si="41"/>
        <v>22</v>
      </c>
      <c r="Q193" s="110">
        <v>0</v>
      </c>
      <c r="R193" s="59">
        <v>22</v>
      </c>
      <c r="S193" s="14">
        <v>0</v>
      </c>
      <c r="T193" s="59">
        <v>0</v>
      </c>
      <c r="U193" s="15">
        <f t="shared" si="42"/>
        <v>0</v>
      </c>
      <c r="V193" s="14">
        <v>26</v>
      </c>
      <c r="W193" s="15">
        <f t="shared" si="43"/>
        <v>26</v>
      </c>
      <c r="X193" s="14">
        <v>0</v>
      </c>
      <c r="Y193" s="75">
        <v>0</v>
      </c>
      <c r="Z193" s="87">
        <f t="shared" si="44"/>
        <v>0</v>
      </c>
      <c r="AA193" s="14">
        <f t="shared" si="45"/>
        <v>0</v>
      </c>
      <c r="AB193" s="75">
        <v>0</v>
      </c>
      <c r="AC193" s="75">
        <v>0</v>
      </c>
      <c r="AD193" s="59">
        <f t="shared" si="46"/>
        <v>0</v>
      </c>
      <c r="AE193" s="73">
        <v>0</v>
      </c>
      <c r="AF193" s="73">
        <v>0</v>
      </c>
      <c r="AG193" s="15">
        <f t="shared" si="47"/>
        <v>0</v>
      </c>
      <c r="AH193" s="16">
        <f t="shared" si="48"/>
        <v>0</v>
      </c>
      <c r="AI193" s="17">
        <f t="shared" si="49"/>
        <v>48</v>
      </c>
      <c r="AJ193" s="12">
        <f>VLOOKUP(A193,'PreK Proxy - Sept. 2024'!$A$2:$I$674,9,FALSE)</f>
        <v>55</v>
      </c>
      <c r="AK193" s="18">
        <f t="shared" si="50"/>
        <v>0.87272727272727268</v>
      </c>
    </row>
    <row r="194" spans="1:37" x14ac:dyDescent="0.35">
      <c r="A194" s="11" t="s">
        <v>400</v>
      </c>
      <c r="B194" s="12" t="s">
        <v>401</v>
      </c>
      <c r="C194" s="54" t="s">
        <v>1370</v>
      </c>
      <c r="D194" s="54" t="s">
        <v>18</v>
      </c>
      <c r="E194" s="66">
        <f t="shared" si="35"/>
        <v>36</v>
      </c>
      <c r="F194" s="13">
        <f t="shared" si="36"/>
        <v>34</v>
      </c>
      <c r="G194" s="67">
        <f t="shared" si="37"/>
        <v>2</v>
      </c>
      <c r="H194" s="64">
        <f t="shared" si="34"/>
        <v>19</v>
      </c>
      <c r="I194" s="80">
        <v>0</v>
      </c>
      <c r="J194" s="80">
        <v>1</v>
      </c>
      <c r="K194" s="59">
        <f t="shared" si="38"/>
        <v>1</v>
      </c>
      <c r="L194" s="59">
        <v>0</v>
      </c>
      <c r="M194" s="59">
        <v>18</v>
      </c>
      <c r="N194" s="59">
        <f t="shared" si="39"/>
        <v>18</v>
      </c>
      <c r="O194" s="15">
        <f t="shared" si="40"/>
        <v>0</v>
      </c>
      <c r="P194" s="87">
        <f t="shared" si="41"/>
        <v>17</v>
      </c>
      <c r="Q194" s="110">
        <v>1</v>
      </c>
      <c r="R194" s="59">
        <v>16</v>
      </c>
      <c r="S194" s="14">
        <v>0</v>
      </c>
      <c r="T194" s="59">
        <v>0</v>
      </c>
      <c r="U194" s="15">
        <f t="shared" si="42"/>
        <v>0</v>
      </c>
      <c r="V194" s="14">
        <v>0</v>
      </c>
      <c r="W194" s="15">
        <f t="shared" si="43"/>
        <v>0</v>
      </c>
      <c r="X194" s="14">
        <v>0</v>
      </c>
      <c r="Y194" s="75">
        <v>0</v>
      </c>
      <c r="Z194" s="87">
        <f t="shared" si="44"/>
        <v>0</v>
      </c>
      <c r="AA194" s="14">
        <f t="shared" si="45"/>
        <v>0</v>
      </c>
      <c r="AB194" s="75">
        <v>0</v>
      </c>
      <c r="AC194" s="75">
        <v>0</v>
      </c>
      <c r="AD194" s="59">
        <f t="shared" si="46"/>
        <v>0</v>
      </c>
      <c r="AE194" s="73">
        <v>0</v>
      </c>
      <c r="AF194" s="73">
        <v>0</v>
      </c>
      <c r="AG194" s="15">
        <f t="shared" si="47"/>
        <v>0</v>
      </c>
      <c r="AH194" s="16">
        <f t="shared" si="48"/>
        <v>2</v>
      </c>
      <c r="AI194" s="17">
        <f t="shared" si="49"/>
        <v>34</v>
      </c>
      <c r="AJ194" s="12">
        <f>VLOOKUP(A194,'PreK Proxy - Sept. 2024'!$A$2:$I$674,9,FALSE)</f>
        <v>69</v>
      </c>
      <c r="AK194" s="18">
        <f t="shared" si="50"/>
        <v>0.52173913043478259</v>
      </c>
    </row>
    <row r="195" spans="1:37" x14ac:dyDescent="0.35">
      <c r="A195" s="11" t="s">
        <v>402</v>
      </c>
      <c r="B195" s="12" t="s">
        <v>403</v>
      </c>
      <c r="C195" s="54" t="s">
        <v>1370</v>
      </c>
      <c r="D195" s="54" t="s">
        <v>18</v>
      </c>
      <c r="E195" s="66">
        <f t="shared" si="35"/>
        <v>18</v>
      </c>
      <c r="F195" s="13">
        <f t="shared" si="36"/>
        <v>18</v>
      </c>
      <c r="G195" s="67">
        <f t="shared" si="37"/>
        <v>0</v>
      </c>
      <c r="H195" s="64">
        <f t="shared" ref="H195:H258" si="53">K195+N195</f>
        <v>18</v>
      </c>
      <c r="I195" s="80">
        <v>0</v>
      </c>
      <c r="J195" s="80">
        <v>0</v>
      </c>
      <c r="K195" s="59">
        <f t="shared" si="38"/>
        <v>0</v>
      </c>
      <c r="L195" s="59">
        <v>0</v>
      </c>
      <c r="M195" s="59">
        <v>18</v>
      </c>
      <c r="N195" s="59">
        <f t="shared" si="39"/>
        <v>18</v>
      </c>
      <c r="O195" s="15">
        <f t="shared" si="40"/>
        <v>0</v>
      </c>
      <c r="P195" s="87">
        <f t="shared" si="41"/>
        <v>0</v>
      </c>
      <c r="Q195" s="110">
        <v>0</v>
      </c>
      <c r="R195" s="59">
        <v>0</v>
      </c>
      <c r="S195" s="14">
        <v>0</v>
      </c>
      <c r="T195" s="59">
        <v>0</v>
      </c>
      <c r="U195" s="15">
        <f t="shared" si="42"/>
        <v>0</v>
      </c>
      <c r="V195" s="14">
        <v>0</v>
      </c>
      <c r="W195" s="15">
        <f t="shared" si="43"/>
        <v>0</v>
      </c>
      <c r="X195" s="14">
        <v>0</v>
      </c>
      <c r="Y195" s="75">
        <v>0</v>
      </c>
      <c r="Z195" s="87">
        <f t="shared" si="44"/>
        <v>0</v>
      </c>
      <c r="AA195" s="14">
        <f t="shared" si="45"/>
        <v>0</v>
      </c>
      <c r="AB195" s="75">
        <v>0</v>
      </c>
      <c r="AC195" s="75">
        <v>0</v>
      </c>
      <c r="AD195" s="59">
        <f t="shared" si="46"/>
        <v>0</v>
      </c>
      <c r="AE195" s="73">
        <v>0</v>
      </c>
      <c r="AF195" s="73">
        <v>0</v>
      </c>
      <c r="AG195" s="15">
        <f t="shared" si="47"/>
        <v>0</v>
      </c>
      <c r="AH195" s="16">
        <f t="shared" si="48"/>
        <v>0</v>
      </c>
      <c r="AI195" s="17">
        <f t="shared" si="49"/>
        <v>18</v>
      </c>
      <c r="AJ195" s="12">
        <f>VLOOKUP(A195,'PreK Proxy - Sept. 2024'!$A$2:$I$674,9,FALSE)</f>
        <v>30</v>
      </c>
      <c r="AK195" s="18">
        <f t="shared" si="50"/>
        <v>0.6</v>
      </c>
    </row>
    <row r="196" spans="1:37" x14ac:dyDescent="0.35">
      <c r="A196" s="11" t="s">
        <v>404</v>
      </c>
      <c r="B196" s="12" t="s">
        <v>405</v>
      </c>
      <c r="C196" s="54" t="s">
        <v>1370</v>
      </c>
      <c r="D196" s="54" t="s">
        <v>18</v>
      </c>
      <c r="E196" s="66">
        <f t="shared" si="35"/>
        <v>0</v>
      </c>
      <c r="F196" s="13">
        <f t="shared" si="36"/>
        <v>0</v>
      </c>
      <c r="G196" s="67">
        <f t="shared" si="37"/>
        <v>0</v>
      </c>
      <c r="H196" s="64">
        <f t="shared" si="53"/>
        <v>0</v>
      </c>
      <c r="I196" s="80">
        <v>0</v>
      </c>
      <c r="J196" s="80">
        <v>0</v>
      </c>
      <c r="K196" s="59">
        <f t="shared" si="38"/>
        <v>0</v>
      </c>
      <c r="L196" s="59">
        <v>0</v>
      </c>
      <c r="M196" s="59">
        <v>0</v>
      </c>
      <c r="N196" s="59">
        <f t="shared" si="39"/>
        <v>0</v>
      </c>
      <c r="O196" s="15">
        <f t="shared" si="40"/>
        <v>0</v>
      </c>
      <c r="P196" s="87">
        <f t="shared" si="41"/>
        <v>0</v>
      </c>
      <c r="Q196" s="110">
        <v>0</v>
      </c>
      <c r="R196" s="59">
        <v>0</v>
      </c>
      <c r="S196" s="14">
        <v>0</v>
      </c>
      <c r="T196" s="59">
        <v>0</v>
      </c>
      <c r="U196" s="15">
        <f t="shared" ref="U196:U259" si="54">S196+T196</f>
        <v>0</v>
      </c>
      <c r="V196" s="14">
        <v>0</v>
      </c>
      <c r="W196" s="15">
        <f t="shared" si="43"/>
        <v>0</v>
      </c>
      <c r="X196" s="14">
        <v>0</v>
      </c>
      <c r="Y196" s="75">
        <v>0</v>
      </c>
      <c r="Z196" s="87">
        <f t="shared" si="44"/>
        <v>0</v>
      </c>
      <c r="AA196" s="14">
        <f t="shared" si="45"/>
        <v>0</v>
      </c>
      <c r="AB196" s="75">
        <v>0</v>
      </c>
      <c r="AC196" s="75">
        <v>0</v>
      </c>
      <c r="AD196" s="59">
        <f t="shared" si="46"/>
        <v>0</v>
      </c>
      <c r="AE196" s="73">
        <v>0</v>
      </c>
      <c r="AF196" s="73">
        <v>0</v>
      </c>
      <c r="AG196" s="15">
        <f t="shared" si="47"/>
        <v>0</v>
      </c>
      <c r="AH196" s="16">
        <f t="shared" si="48"/>
        <v>0</v>
      </c>
      <c r="AI196" s="17">
        <f t="shared" si="49"/>
        <v>0</v>
      </c>
      <c r="AJ196" s="12">
        <f>VLOOKUP(A196,'PreK Proxy - Sept. 2024'!$A$2:$I$674,9,FALSE)</f>
        <v>12</v>
      </c>
      <c r="AK196" s="18">
        <f t="shared" si="50"/>
        <v>0</v>
      </c>
    </row>
    <row r="197" spans="1:37" x14ac:dyDescent="0.35">
      <c r="A197" s="11" t="s">
        <v>406</v>
      </c>
      <c r="B197" s="12" t="s">
        <v>407</v>
      </c>
      <c r="C197" s="54" t="s">
        <v>1375</v>
      </c>
      <c r="D197" s="54" t="s">
        <v>190</v>
      </c>
      <c r="E197" s="66">
        <f t="shared" ref="E197:E260" si="55">F197+G197</f>
        <v>0</v>
      </c>
      <c r="F197" s="13">
        <f t="shared" ref="F197:F260" si="56">N197+R197+S197+V197+X197+AG197</f>
        <v>0</v>
      </c>
      <c r="G197" s="67">
        <f t="shared" ref="G197:G260" si="57">K197+Q197+AD197</f>
        <v>0</v>
      </c>
      <c r="H197" s="64">
        <f t="shared" si="53"/>
        <v>0</v>
      </c>
      <c r="I197" s="80">
        <v>0</v>
      </c>
      <c r="J197" s="80">
        <v>0</v>
      </c>
      <c r="K197" s="59">
        <f t="shared" ref="K197:K260" si="58">I197+J197</f>
        <v>0</v>
      </c>
      <c r="L197" s="59">
        <v>0</v>
      </c>
      <c r="M197" s="59">
        <v>0</v>
      </c>
      <c r="N197" s="59">
        <f t="shared" ref="N197:N260" si="59">L197+M197</f>
        <v>0</v>
      </c>
      <c r="O197" s="15">
        <f t="shared" ref="O197:O260" si="60">T197+Y197</f>
        <v>0</v>
      </c>
      <c r="P197" s="87">
        <f t="shared" ref="P197:P260" si="61">Q197+R197</f>
        <v>0</v>
      </c>
      <c r="Q197" s="110">
        <v>0</v>
      </c>
      <c r="R197" s="59">
        <v>0</v>
      </c>
      <c r="S197" s="14">
        <v>0</v>
      </c>
      <c r="T197" s="59">
        <v>0</v>
      </c>
      <c r="U197" s="15">
        <f t="shared" si="54"/>
        <v>0</v>
      </c>
      <c r="V197" s="14">
        <v>0</v>
      </c>
      <c r="W197" s="15">
        <f t="shared" ref="W197:W260" si="62">V197</f>
        <v>0</v>
      </c>
      <c r="X197" s="14">
        <v>0</v>
      </c>
      <c r="Y197" s="75">
        <v>0</v>
      </c>
      <c r="Z197" s="87">
        <f t="shared" ref="Z197:Z260" si="63">X197+Y197</f>
        <v>0</v>
      </c>
      <c r="AA197" s="14">
        <f t="shared" ref="AA197:AA260" si="64">AD197+AG197</f>
        <v>0</v>
      </c>
      <c r="AB197" s="75">
        <v>0</v>
      </c>
      <c r="AC197" s="75">
        <v>0</v>
      </c>
      <c r="AD197" s="59">
        <f t="shared" ref="AD197:AD260" si="65">AB197+AC197</f>
        <v>0</v>
      </c>
      <c r="AE197" s="73">
        <v>0</v>
      </c>
      <c r="AF197" s="73">
        <v>0</v>
      </c>
      <c r="AG197" s="15">
        <f t="shared" ref="AG197:AG260" si="66">AE197+AF197</f>
        <v>0</v>
      </c>
      <c r="AH197" s="16">
        <f t="shared" ref="AH197:AH260" si="67">J197+Q197+AC197</f>
        <v>0</v>
      </c>
      <c r="AI197" s="17">
        <f t="shared" ref="AI197:AI260" si="68">M197+R197+S197+V197+X197+AF197</f>
        <v>0</v>
      </c>
      <c r="AJ197" s="12">
        <f>VLOOKUP(A197,'PreK Proxy - Sept. 2024'!$A$2:$I$674,9,FALSE)</f>
        <v>9</v>
      </c>
      <c r="AK197" s="18">
        <f t="shared" ref="AK197:AK260" si="69">IFERROR(MIN(100%,((AI197+AH197)/AJ197)),0)</f>
        <v>0</v>
      </c>
    </row>
    <row r="198" spans="1:37" x14ac:dyDescent="0.35">
      <c r="A198" s="11" t="s">
        <v>408</v>
      </c>
      <c r="B198" s="12" t="s">
        <v>409</v>
      </c>
      <c r="C198" s="54" t="s">
        <v>1375</v>
      </c>
      <c r="D198" s="54" t="s">
        <v>190</v>
      </c>
      <c r="E198" s="66">
        <f t="shared" si="55"/>
        <v>0</v>
      </c>
      <c r="F198" s="13">
        <f t="shared" si="56"/>
        <v>0</v>
      </c>
      <c r="G198" s="67">
        <f t="shared" si="57"/>
        <v>0</v>
      </c>
      <c r="H198" s="64">
        <f t="shared" si="53"/>
        <v>0</v>
      </c>
      <c r="I198" s="80">
        <v>0</v>
      </c>
      <c r="J198" s="80">
        <v>0</v>
      </c>
      <c r="K198" s="59">
        <f t="shared" si="58"/>
        <v>0</v>
      </c>
      <c r="L198" s="59">
        <v>0</v>
      </c>
      <c r="M198" s="59">
        <v>0</v>
      </c>
      <c r="N198" s="59">
        <f t="shared" si="59"/>
        <v>0</v>
      </c>
      <c r="O198" s="15">
        <f t="shared" si="60"/>
        <v>0</v>
      </c>
      <c r="P198" s="87">
        <f t="shared" si="61"/>
        <v>0</v>
      </c>
      <c r="Q198" s="110">
        <v>0</v>
      </c>
      <c r="R198" s="59">
        <v>0</v>
      </c>
      <c r="S198" s="14">
        <v>0</v>
      </c>
      <c r="T198" s="59">
        <v>0</v>
      </c>
      <c r="U198" s="15">
        <f t="shared" si="54"/>
        <v>0</v>
      </c>
      <c r="V198" s="14">
        <v>0</v>
      </c>
      <c r="W198" s="15">
        <f t="shared" si="62"/>
        <v>0</v>
      </c>
      <c r="X198" s="14">
        <v>0</v>
      </c>
      <c r="Y198" s="75">
        <v>0</v>
      </c>
      <c r="Z198" s="87">
        <f t="shared" si="63"/>
        <v>0</v>
      </c>
      <c r="AA198" s="14">
        <f t="shared" si="64"/>
        <v>0</v>
      </c>
      <c r="AB198" s="75">
        <v>0</v>
      </c>
      <c r="AC198" s="75">
        <v>0</v>
      </c>
      <c r="AD198" s="59">
        <f t="shared" si="65"/>
        <v>0</v>
      </c>
      <c r="AE198" s="73">
        <v>0</v>
      </c>
      <c r="AF198" s="73">
        <v>0</v>
      </c>
      <c r="AG198" s="15">
        <f t="shared" si="66"/>
        <v>0</v>
      </c>
      <c r="AH198" s="16">
        <f t="shared" si="67"/>
        <v>0</v>
      </c>
      <c r="AI198" s="17">
        <f t="shared" si="68"/>
        <v>0</v>
      </c>
      <c r="AJ198" s="12">
        <f>VLOOKUP(A198,'PreK Proxy - Sept. 2024'!$A$2:$I$674,9,FALSE)</f>
        <v>3</v>
      </c>
      <c r="AK198" s="18">
        <f t="shared" si="69"/>
        <v>0</v>
      </c>
    </row>
    <row r="199" spans="1:37" x14ac:dyDescent="0.35">
      <c r="A199" s="11" t="s">
        <v>410</v>
      </c>
      <c r="B199" s="12" t="s">
        <v>411</v>
      </c>
      <c r="C199" s="54" t="s">
        <v>1375</v>
      </c>
      <c r="D199" s="54" t="s">
        <v>190</v>
      </c>
      <c r="E199" s="66">
        <f t="shared" si="55"/>
        <v>0</v>
      </c>
      <c r="F199" s="13">
        <f t="shared" si="56"/>
        <v>0</v>
      </c>
      <c r="G199" s="67">
        <f t="shared" si="57"/>
        <v>0</v>
      </c>
      <c r="H199" s="64">
        <f t="shared" si="53"/>
        <v>0</v>
      </c>
      <c r="I199" s="80">
        <v>0</v>
      </c>
      <c r="J199" s="80">
        <v>0</v>
      </c>
      <c r="K199" s="59">
        <f t="shared" si="58"/>
        <v>0</v>
      </c>
      <c r="L199" s="59">
        <v>0</v>
      </c>
      <c r="M199" s="59">
        <v>0</v>
      </c>
      <c r="N199" s="59">
        <f t="shared" si="59"/>
        <v>0</v>
      </c>
      <c r="O199" s="15">
        <f t="shared" si="60"/>
        <v>0</v>
      </c>
      <c r="P199" s="87">
        <f t="shared" si="61"/>
        <v>0</v>
      </c>
      <c r="Q199" s="110">
        <v>0</v>
      </c>
      <c r="R199" s="59">
        <v>0</v>
      </c>
      <c r="S199" s="14">
        <v>0</v>
      </c>
      <c r="T199" s="59">
        <v>0</v>
      </c>
      <c r="U199" s="15">
        <f t="shared" si="54"/>
        <v>0</v>
      </c>
      <c r="V199" s="14">
        <v>0</v>
      </c>
      <c r="W199" s="15">
        <f t="shared" si="62"/>
        <v>0</v>
      </c>
      <c r="X199" s="14">
        <v>0</v>
      </c>
      <c r="Y199" s="75">
        <v>0</v>
      </c>
      <c r="Z199" s="87">
        <f t="shared" si="63"/>
        <v>0</v>
      </c>
      <c r="AA199" s="14">
        <f t="shared" si="64"/>
        <v>0</v>
      </c>
      <c r="AB199" s="75">
        <v>0</v>
      </c>
      <c r="AC199" s="75">
        <v>0</v>
      </c>
      <c r="AD199" s="59">
        <f t="shared" si="65"/>
        <v>0</v>
      </c>
      <c r="AE199" s="73">
        <v>0</v>
      </c>
      <c r="AF199" s="73">
        <v>0</v>
      </c>
      <c r="AG199" s="15">
        <f t="shared" si="66"/>
        <v>0</v>
      </c>
      <c r="AH199" s="16">
        <f t="shared" si="67"/>
        <v>0</v>
      </c>
      <c r="AI199" s="17">
        <f t="shared" si="68"/>
        <v>0</v>
      </c>
      <c r="AJ199" s="12">
        <f>VLOOKUP(A199,'PreK Proxy - Sept. 2024'!$A$2:$I$674,9,FALSE)</f>
        <v>0</v>
      </c>
      <c r="AK199" s="18">
        <f t="shared" si="69"/>
        <v>0</v>
      </c>
    </row>
    <row r="200" spans="1:37" x14ac:dyDescent="0.35">
      <c r="A200" s="11" t="s">
        <v>412</v>
      </c>
      <c r="B200" s="12" t="s">
        <v>413</v>
      </c>
      <c r="C200" s="54" t="s">
        <v>1375</v>
      </c>
      <c r="D200" s="54" t="s">
        <v>190</v>
      </c>
      <c r="E200" s="66">
        <f t="shared" si="55"/>
        <v>0</v>
      </c>
      <c r="F200" s="13">
        <f t="shared" si="56"/>
        <v>0</v>
      </c>
      <c r="G200" s="67">
        <f t="shared" si="57"/>
        <v>0</v>
      </c>
      <c r="H200" s="64">
        <f t="shared" si="53"/>
        <v>0</v>
      </c>
      <c r="I200" s="80">
        <v>0</v>
      </c>
      <c r="J200" s="80">
        <v>0</v>
      </c>
      <c r="K200" s="59">
        <f t="shared" si="58"/>
        <v>0</v>
      </c>
      <c r="L200" s="59">
        <v>0</v>
      </c>
      <c r="M200" s="59">
        <v>0</v>
      </c>
      <c r="N200" s="59">
        <f t="shared" si="59"/>
        <v>0</v>
      </c>
      <c r="O200" s="15">
        <f t="shared" si="60"/>
        <v>0</v>
      </c>
      <c r="P200" s="87">
        <f t="shared" si="61"/>
        <v>0</v>
      </c>
      <c r="Q200" s="110">
        <v>0</v>
      </c>
      <c r="R200" s="59">
        <v>0</v>
      </c>
      <c r="S200" s="14">
        <v>0</v>
      </c>
      <c r="T200" s="59">
        <v>0</v>
      </c>
      <c r="U200" s="15">
        <f t="shared" si="54"/>
        <v>0</v>
      </c>
      <c r="V200" s="14">
        <v>0</v>
      </c>
      <c r="W200" s="15">
        <f t="shared" si="62"/>
        <v>0</v>
      </c>
      <c r="X200" s="14">
        <v>0</v>
      </c>
      <c r="Y200" s="75">
        <v>0</v>
      </c>
      <c r="Z200" s="87">
        <f t="shared" si="63"/>
        <v>0</v>
      </c>
      <c r="AA200" s="14">
        <f t="shared" si="64"/>
        <v>0</v>
      </c>
      <c r="AB200" s="75">
        <v>0</v>
      </c>
      <c r="AC200" s="75">
        <v>0</v>
      </c>
      <c r="AD200" s="59">
        <f t="shared" si="65"/>
        <v>0</v>
      </c>
      <c r="AE200" s="73">
        <v>0</v>
      </c>
      <c r="AF200" s="73">
        <v>0</v>
      </c>
      <c r="AG200" s="15">
        <f t="shared" si="66"/>
        <v>0</v>
      </c>
      <c r="AH200" s="16">
        <f t="shared" si="67"/>
        <v>0</v>
      </c>
      <c r="AI200" s="17">
        <f t="shared" si="68"/>
        <v>0</v>
      </c>
      <c r="AJ200" s="12">
        <f>VLOOKUP(A200,'PreK Proxy - Sept. 2024'!$A$2:$I$674,9,FALSE)</f>
        <v>11</v>
      </c>
      <c r="AK200" s="18">
        <f t="shared" si="69"/>
        <v>0</v>
      </c>
    </row>
    <row r="201" spans="1:37" x14ac:dyDescent="0.35">
      <c r="A201" s="11" t="s">
        <v>414</v>
      </c>
      <c r="B201" s="12" t="s">
        <v>415</v>
      </c>
      <c r="C201" s="54" t="s">
        <v>1373</v>
      </c>
      <c r="D201" s="54" t="s">
        <v>366</v>
      </c>
      <c r="E201" s="66">
        <f t="shared" si="55"/>
        <v>41</v>
      </c>
      <c r="F201" s="13">
        <f t="shared" si="56"/>
        <v>41</v>
      </c>
      <c r="G201" s="67">
        <f t="shared" si="57"/>
        <v>0</v>
      </c>
      <c r="H201" s="64">
        <f t="shared" si="53"/>
        <v>41</v>
      </c>
      <c r="I201" s="80">
        <v>0</v>
      </c>
      <c r="J201" s="80">
        <v>0</v>
      </c>
      <c r="K201" s="59">
        <f t="shared" si="58"/>
        <v>0</v>
      </c>
      <c r="L201" s="59">
        <v>0</v>
      </c>
      <c r="M201" s="59">
        <v>41</v>
      </c>
      <c r="N201" s="59">
        <f t="shared" si="59"/>
        <v>41</v>
      </c>
      <c r="O201" s="15">
        <f t="shared" si="60"/>
        <v>0</v>
      </c>
      <c r="P201" s="87">
        <f t="shared" si="61"/>
        <v>0</v>
      </c>
      <c r="Q201" s="110">
        <v>0</v>
      </c>
      <c r="R201" s="59">
        <v>0</v>
      </c>
      <c r="S201" s="14">
        <v>0</v>
      </c>
      <c r="T201" s="59">
        <v>0</v>
      </c>
      <c r="U201" s="15">
        <f t="shared" si="54"/>
        <v>0</v>
      </c>
      <c r="V201" s="14">
        <v>0</v>
      </c>
      <c r="W201" s="15">
        <f t="shared" si="62"/>
        <v>0</v>
      </c>
      <c r="X201" s="14">
        <v>0</v>
      </c>
      <c r="Y201" s="75">
        <v>0</v>
      </c>
      <c r="Z201" s="87">
        <f t="shared" si="63"/>
        <v>0</v>
      </c>
      <c r="AA201" s="14">
        <f t="shared" si="64"/>
        <v>0</v>
      </c>
      <c r="AB201" s="75">
        <v>0</v>
      </c>
      <c r="AC201" s="75">
        <v>0</v>
      </c>
      <c r="AD201" s="59">
        <f t="shared" si="65"/>
        <v>0</v>
      </c>
      <c r="AE201" s="73">
        <v>0</v>
      </c>
      <c r="AF201" s="73">
        <v>0</v>
      </c>
      <c r="AG201" s="15">
        <f t="shared" si="66"/>
        <v>0</v>
      </c>
      <c r="AH201" s="16">
        <f t="shared" si="67"/>
        <v>0</v>
      </c>
      <c r="AI201" s="17">
        <f t="shared" si="68"/>
        <v>41</v>
      </c>
      <c r="AJ201" s="12">
        <f>VLOOKUP(A201,'PreK Proxy - Sept. 2024'!$A$2:$I$674,9,FALSE)</f>
        <v>36</v>
      </c>
      <c r="AK201" s="18">
        <f t="shared" si="69"/>
        <v>1</v>
      </c>
    </row>
    <row r="202" spans="1:37" x14ac:dyDescent="0.35">
      <c r="A202" s="11" t="s">
        <v>416</v>
      </c>
      <c r="B202" s="12" t="s">
        <v>417</v>
      </c>
      <c r="C202" s="54" t="s">
        <v>1373</v>
      </c>
      <c r="D202" s="54" t="s">
        <v>366</v>
      </c>
      <c r="E202" s="66">
        <f t="shared" si="55"/>
        <v>34</v>
      </c>
      <c r="F202" s="13">
        <f t="shared" si="56"/>
        <v>31</v>
      </c>
      <c r="G202" s="67">
        <f t="shared" si="57"/>
        <v>3</v>
      </c>
      <c r="H202" s="64">
        <f t="shared" si="53"/>
        <v>17</v>
      </c>
      <c r="I202" s="80">
        <v>0</v>
      </c>
      <c r="J202" s="80">
        <v>2</v>
      </c>
      <c r="K202" s="59">
        <f t="shared" si="58"/>
        <v>2</v>
      </c>
      <c r="L202" s="59">
        <v>0</v>
      </c>
      <c r="M202" s="59">
        <v>15</v>
      </c>
      <c r="N202" s="59">
        <f t="shared" si="59"/>
        <v>15</v>
      </c>
      <c r="O202" s="15">
        <f t="shared" si="60"/>
        <v>0</v>
      </c>
      <c r="P202" s="87">
        <f t="shared" si="61"/>
        <v>17</v>
      </c>
      <c r="Q202" s="110">
        <v>1</v>
      </c>
      <c r="R202" s="59">
        <v>16</v>
      </c>
      <c r="S202" s="14">
        <v>0</v>
      </c>
      <c r="T202" s="59">
        <v>0</v>
      </c>
      <c r="U202" s="15">
        <f t="shared" si="54"/>
        <v>0</v>
      </c>
      <c r="V202" s="14">
        <v>0</v>
      </c>
      <c r="W202" s="15">
        <f t="shared" si="62"/>
        <v>0</v>
      </c>
      <c r="X202" s="14">
        <v>0</v>
      </c>
      <c r="Y202" s="75">
        <v>0</v>
      </c>
      <c r="Z202" s="87">
        <f t="shared" si="63"/>
        <v>0</v>
      </c>
      <c r="AA202" s="14">
        <f t="shared" si="64"/>
        <v>0</v>
      </c>
      <c r="AB202" s="75">
        <v>0</v>
      </c>
      <c r="AC202" s="75">
        <v>0</v>
      </c>
      <c r="AD202" s="59">
        <f t="shared" si="65"/>
        <v>0</v>
      </c>
      <c r="AE202" s="73">
        <v>0</v>
      </c>
      <c r="AF202" s="73">
        <v>0</v>
      </c>
      <c r="AG202" s="15">
        <f t="shared" si="66"/>
        <v>0</v>
      </c>
      <c r="AH202" s="16">
        <f t="shared" si="67"/>
        <v>3</v>
      </c>
      <c r="AI202" s="17">
        <f t="shared" si="68"/>
        <v>31</v>
      </c>
      <c r="AJ202" s="12">
        <f>VLOOKUP(A202,'PreK Proxy - Sept. 2024'!$A$2:$I$674,9,FALSE)</f>
        <v>39</v>
      </c>
      <c r="AK202" s="18">
        <f t="shared" si="69"/>
        <v>0.87179487179487181</v>
      </c>
    </row>
    <row r="203" spans="1:37" x14ac:dyDescent="0.35">
      <c r="A203" s="11" t="s">
        <v>418</v>
      </c>
      <c r="B203" s="12" t="s">
        <v>1396</v>
      </c>
      <c r="C203" s="54" t="s">
        <v>1373</v>
      </c>
      <c r="D203" s="54" t="s">
        <v>366</v>
      </c>
      <c r="E203" s="66">
        <f t="shared" si="55"/>
        <v>61</v>
      </c>
      <c r="F203" s="13">
        <f t="shared" si="56"/>
        <v>61</v>
      </c>
      <c r="G203" s="67">
        <f t="shared" si="57"/>
        <v>0</v>
      </c>
      <c r="H203" s="64">
        <f t="shared" si="53"/>
        <v>48</v>
      </c>
      <c r="I203" s="80">
        <v>0</v>
      </c>
      <c r="J203" s="80">
        <v>0</v>
      </c>
      <c r="K203" s="59">
        <f t="shared" si="58"/>
        <v>0</v>
      </c>
      <c r="L203" s="59">
        <v>0</v>
      </c>
      <c r="M203" s="59">
        <v>48</v>
      </c>
      <c r="N203" s="59">
        <f t="shared" si="59"/>
        <v>48</v>
      </c>
      <c r="O203" s="15">
        <f t="shared" si="60"/>
        <v>0</v>
      </c>
      <c r="P203" s="87">
        <f t="shared" si="61"/>
        <v>1</v>
      </c>
      <c r="Q203" s="110">
        <v>0</v>
      </c>
      <c r="R203" s="59">
        <v>1</v>
      </c>
      <c r="S203" s="14">
        <v>0</v>
      </c>
      <c r="T203" s="59">
        <v>0</v>
      </c>
      <c r="U203" s="15">
        <f t="shared" si="54"/>
        <v>0</v>
      </c>
      <c r="V203" s="14">
        <v>0</v>
      </c>
      <c r="W203" s="15">
        <f t="shared" si="62"/>
        <v>0</v>
      </c>
      <c r="X203" s="14">
        <v>0</v>
      </c>
      <c r="Y203" s="75">
        <v>0</v>
      </c>
      <c r="Z203" s="87">
        <f t="shared" si="63"/>
        <v>0</v>
      </c>
      <c r="AA203" s="14">
        <f t="shared" si="64"/>
        <v>12</v>
      </c>
      <c r="AB203" s="75">
        <v>0</v>
      </c>
      <c r="AC203" s="75">
        <v>0</v>
      </c>
      <c r="AD203" s="59">
        <f t="shared" si="65"/>
        <v>0</v>
      </c>
      <c r="AE203" s="73">
        <v>6</v>
      </c>
      <c r="AF203" s="73">
        <v>6</v>
      </c>
      <c r="AG203" s="15">
        <f t="shared" si="66"/>
        <v>12</v>
      </c>
      <c r="AH203" s="16">
        <f t="shared" si="67"/>
        <v>0</v>
      </c>
      <c r="AI203" s="17">
        <f t="shared" si="68"/>
        <v>55</v>
      </c>
      <c r="AJ203" s="12">
        <f>VLOOKUP(A203,'PreK Proxy - Sept. 2024'!$A$2:$I$674,9,FALSE)</f>
        <v>76</v>
      </c>
      <c r="AK203" s="18">
        <f t="shared" si="69"/>
        <v>0.72368421052631582</v>
      </c>
    </row>
    <row r="204" spans="1:37" x14ac:dyDescent="0.35">
      <c r="A204" s="11" t="s">
        <v>419</v>
      </c>
      <c r="B204" s="12" t="s">
        <v>420</v>
      </c>
      <c r="C204" s="54" t="s">
        <v>1373</v>
      </c>
      <c r="D204" s="54" t="s">
        <v>366</v>
      </c>
      <c r="E204" s="66">
        <f t="shared" si="55"/>
        <v>39</v>
      </c>
      <c r="F204" s="13">
        <f t="shared" si="56"/>
        <v>0</v>
      </c>
      <c r="G204" s="67">
        <f t="shared" si="57"/>
        <v>39</v>
      </c>
      <c r="H204" s="64">
        <f t="shared" si="53"/>
        <v>39</v>
      </c>
      <c r="I204" s="80">
        <v>0</v>
      </c>
      <c r="J204" s="80">
        <v>39</v>
      </c>
      <c r="K204" s="59">
        <f t="shared" si="58"/>
        <v>39</v>
      </c>
      <c r="L204" s="59">
        <v>0</v>
      </c>
      <c r="M204" s="59">
        <v>0</v>
      </c>
      <c r="N204" s="59">
        <f t="shared" si="59"/>
        <v>0</v>
      </c>
      <c r="O204" s="15">
        <f t="shared" si="60"/>
        <v>0</v>
      </c>
      <c r="P204" s="87">
        <f t="shared" si="61"/>
        <v>0</v>
      </c>
      <c r="Q204" s="110">
        <v>0</v>
      </c>
      <c r="R204" s="59">
        <v>0</v>
      </c>
      <c r="S204" s="14">
        <v>0</v>
      </c>
      <c r="T204" s="59">
        <v>0</v>
      </c>
      <c r="U204" s="15">
        <f t="shared" si="54"/>
        <v>0</v>
      </c>
      <c r="V204" s="14">
        <v>0</v>
      </c>
      <c r="W204" s="15">
        <f t="shared" si="62"/>
        <v>0</v>
      </c>
      <c r="X204" s="14">
        <v>0</v>
      </c>
      <c r="Y204" s="75">
        <v>0</v>
      </c>
      <c r="Z204" s="87">
        <f t="shared" si="63"/>
        <v>0</v>
      </c>
      <c r="AA204" s="14">
        <f t="shared" si="64"/>
        <v>0</v>
      </c>
      <c r="AB204" s="75">
        <v>0</v>
      </c>
      <c r="AC204" s="75">
        <v>0</v>
      </c>
      <c r="AD204" s="59">
        <f t="shared" si="65"/>
        <v>0</v>
      </c>
      <c r="AE204" s="73">
        <v>0</v>
      </c>
      <c r="AF204" s="73">
        <v>0</v>
      </c>
      <c r="AG204" s="15">
        <f t="shared" si="66"/>
        <v>0</v>
      </c>
      <c r="AH204" s="16">
        <f t="shared" si="67"/>
        <v>39</v>
      </c>
      <c r="AI204" s="17">
        <f t="shared" si="68"/>
        <v>0</v>
      </c>
      <c r="AJ204" s="12">
        <f>VLOOKUP(A204,'PreK Proxy - Sept. 2024'!$A$2:$I$674,9,FALSE)</f>
        <v>68</v>
      </c>
      <c r="AK204" s="18">
        <f t="shared" si="69"/>
        <v>0.57352941176470584</v>
      </c>
    </row>
    <row r="205" spans="1:37" x14ac:dyDescent="0.35">
      <c r="A205" s="11" t="s">
        <v>421</v>
      </c>
      <c r="B205" s="12" t="s">
        <v>1395</v>
      </c>
      <c r="C205" s="54" t="s">
        <v>1373</v>
      </c>
      <c r="D205" s="54" t="s">
        <v>366</v>
      </c>
      <c r="E205" s="66">
        <f t="shared" si="55"/>
        <v>49</v>
      </c>
      <c r="F205" s="13">
        <f t="shared" si="56"/>
        <v>49</v>
      </c>
      <c r="G205" s="67">
        <f t="shared" si="57"/>
        <v>0</v>
      </c>
      <c r="H205" s="64">
        <f t="shared" si="53"/>
        <v>15</v>
      </c>
      <c r="I205" s="80">
        <v>0</v>
      </c>
      <c r="J205" s="80">
        <v>0</v>
      </c>
      <c r="K205" s="59">
        <f t="shared" si="58"/>
        <v>0</v>
      </c>
      <c r="L205" s="59">
        <v>3</v>
      </c>
      <c r="M205" s="59">
        <v>12</v>
      </c>
      <c r="N205" s="59">
        <f t="shared" si="59"/>
        <v>15</v>
      </c>
      <c r="O205" s="15">
        <f t="shared" si="60"/>
        <v>0</v>
      </c>
      <c r="P205" s="87">
        <f t="shared" si="61"/>
        <v>22</v>
      </c>
      <c r="Q205" s="110">
        <v>0</v>
      </c>
      <c r="R205" s="59">
        <v>22</v>
      </c>
      <c r="S205" s="14">
        <v>0</v>
      </c>
      <c r="T205" s="59">
        <v>0</v>
      </c>
      <c r="U205" s="15">
        <f t="shared" si="54"/>
        <v>0</v>
      </c>
      <c r="V205" s="14">
        <v>0</v>
      </c>
      <c r="W205" s="15">
        <f t="shared" si="62"/>
        <v>0</v>
      </c>
      <c r="X205" s="14">
        <v>0</v>
      </c>
      <c r="Y205" s="75">
        <v>0</v>
      </c>
      <c r="Z205" s="87">
        <f t="shared" si="63"/>
        <v>0</v>
      </c>
      <c r="AA205" s="14">
        <f t="shared" si="64"/>
        <v>12</v>
      </c>
      <c r="AB205" s="75">
        <v>0</v>
      </c>
      <c r="AC205" s="75">
        <v>0</v>
      </c>
      <c r="AD205" s="59">
        <f t="shared" si="65"/>
        <v>0</v>
      </c>
      <c r="AE205" s="73">
        <v>12</v>
      </c>
      <c r="AF205" s="73">
        <v>0</v>
      </c>
      <c r="AG205" s="15">
        <f t="shared" si="66"/>
        <v>12</v>
      </c>
      <c r="AH205" s="16">
        <f t="shared" si="67"/>
        <v>0</v>
      </c>
      <c r="AI205" s="17">
        <f t="shared" si="68"/>
        <v>34</v>
      </c>
      <c r="AJ205" s="12">
        <f>VLOOKUP(A205,'PreK Proxy - Sept. 2024'!$A$2:$I$674,9,FALSE)</f>
        <v>39</v>
      </c>
      <c r="AK205" s="18">
        <f t="shared" si="69"/>
        <v>0.87179487179487181</v>
      </c>
    </row>
    <row r="206" spans="1:37" x14ac:dyDescent="0.35">
      <c r="A206" s="11" t="s">
        <v>422</v>
      </c>
      <c r="B206" s="12" t="s">
        <v>423</v>
      </c>
      <c r="C206" s="54" t="s">
        <v>1373</v>
      </c>
      <c r="D206" s="54" t="s">
        <v>366</v>
      </c>
      <c r="E206" s="66">
        <f t="shared" si="55"/>
        <v>36</v>
      </c>
      <c r="F206" s="13">
        <f t="shared" si="56"/>
        <v>0</v>
      </c>
      <c r="G206" s="67">
        <f t="shared" si="57"/>
        <v>36</v>
      </c>
      <c r="H206" s="64">
        <f t="shared" si="53"/>
        <v>36</v>
      </c>
      <c r="I206" s="80">
        <v>0</v>
      </c>
      <c r="J206" s="80">
        <v>36</v>
      </c>
      <c r="K206" s="59">
        <f t="shared" si="58"/>
        <v>36</v>
      </c>
      <c r="L206" s="59">
        <v>0</v>
      </c>
      <c r="M206" s="59">
        <v>0</v>
      </c>
      <c r="N206" s="59">
        <f t="shared" si="59"/>
        <v>0</v>
      </c>
      <c r="O206" s="15">
        <f t="shared" si="60"/>
        <v>0</v>
      </c>
      <c r="P206" s="87">
        <f t="shared" si="61"/>
        <v>0</v>
      </c>
      <c r="Q206" s="110">
        <v>0</v>
      </c>
      <c r="R206" s="59">
        <v>0</v>
      </c>
      <c r="S206" s="14">
        <v>0</v>
      </c>
      <c r="T206" s="59">
        <v>0</v>
      </c>
      <c r="U206" s="15">
        <f t="shared" si="54"/>
        <v>0</v>
      </c>
      <c r="V206" s="14">
        <v>0</v>
      </c>
      <c r="W206" s="15">
        <f t="shared" si="62"/>
        <v>0</v>
      </c>
      <c r="X206" s="14">
        <v>0</v>
      </c>
      <c r="Y206" s="75">
        <v>0</v>
      </c>
      <c r="Z206" s="87">
        <f t="shared" si="63"/>
        <v>0</v>
      </c>
      <c r="AA206" s="14">
        <f t="shared" si="64"/>
        <v>0</v>
      </c>
      <c r="AB206" s="75">
        <v>0</v>
      </c>
      <c r="AC206" s="75">
        <v>0</v>
      </c>
      <c r="AD206" s="59">
        <f t="shared" si="65"/>
        <v>0</v>
      </c>
      <c r="AE206" s="73">
        <v>0</v>
      </c>
      <c r="AF206" s="73">
        <v>0</v>
      </c>
      <c r="AG206" s="15">
        <f t="shared" si="66"/>
        <v>0</v>
      </c>
      <c r="AH206" s="16">
        <f t="shared" si="67"/>
        <v>36</v>
      </c>
      <c r="AI206" s="17">
        <f t="shared" si="68"/>
        <v>0</v>
      </c>
      <c r="AJ206" s="12">
        <f>VLOOKUP(A206,'PreK Proxy - Sept. 2024'!$A$2:$I$674,9,FALSE)</f>
        <v>30</v>
      </c>
      <c r="AK206" s="18">
        <f t="shared" si="69"/>
        <v>1</v>
      </c>
    </row>
    <row r="207" spans="1:37" x14ac:dyDescent="0.35">
      <c r="A207" s="11" t="s">
        <v>424</v>
      </c>
      <c r="B207" s="12" t="s">
        <v>425</v>
      </c>
      <c r="C207" s="54" t="s">
        <v>1373</v>
      </c>
      <c r="D207" s="54" t="s">
        <v>366</v>
      </c>
      <c r="E207" s="66">
        <f t="shared" si="55"/>
        <v>13</v>
      </c>
      <c r="F207" s="13">
        <f t="shared" si="56"/>
        <v>13</v>
      </c>
      <c r="G207" s="67">
        <f t="shared" si="57"/>
        <v>0</v>
      </c>
      <c r="H207" s="64">
        <f t="shared" si="53"/>
        <v>0</v>
      </c>
      <c r="I207" s="80">
        <v>0</v>
      </c>
      <c r="J207" s="80">
        <v>0</v>
      </c>
      <c r="K207" s="59">
        <f t="shared" si="58"/>
        <v>0</v>
      </c>
      <c r="L207" s="59">
        <v>0</v>
      </c>
      <c r="M207" s="59">
        <v>0</v>
      </c>
      <c r="N207" s="59">
        <f t="shared" si="59"/>
        <v>0</v>
      </c>
      <c r="O207" s="15">
        <f t="shared" si="60"/>
        <v>0</v>
      </c>
      <c r="P207" s="87">
        <f t="shared" si="61"/>
        <v>0</v>
      </c>
      <c r="Q207" s="110">
        <v>0</v>
      </c>
      <c r="R207" s="59">
        <v>0</v>
      </c>
      <c r="S207" s="14">
        <v>0</v>
      </c>
      <c r="T207" s="59">
        <v>0</v>
      </c>
      <c r="U207" s="15">
        <f t="shared" si="54"/>
        <v>0</v>
      </c>
      <c r="V207" s="14">
        <v>0</v>
      </c>
      <c r="W207" s="15">
        <f t="shared" si="62"/>
        <v>0</v>
      </c>
      <c r="X207" s="14">
        <v>0</v>
      </c>
      <c r="Y207" s="75">
        <v>0</v>
      </c>
      <c r="Z207" s="87">
        <f t="shared" si="63"/>
        <v>0</v>
      </c>
      <c r="AA207" s="14">
        <f t="shared" si="64"/>
        <v>13</v>
      </c>
      <c r="AB207" s="75">
        <v>0</v>
      </c>
      <c r="AC207" s="75">
        <v>0</v>
      </c>
      <c r="AD207" s="59">
        <f t="shared" si="65"/>
        <v>0</v>
      </c>
      <c r="AE207" s="73">
        <v>3</v>
      </c>
      <c r="AF207" s="73">
        <v>10</v>
      </c>
      <c r="AG207" s="15">
        <f t="shared" si="66"/>
        <v>13</v>
      </c>
      <c r="AH207" s="16">
        <f t="shared" si="67"/>
        <v>0</v>
      </c>
      <c r="AI207" s="17">
        <f t="shared" si="68"/>
        <v>10</v>
      </c>
      <c r="AJ207" s="12">
        <f>VLOOKUP(A207,'PreK Proxy - Sept. 2024'!$A$2:$I$674,9,FALSE)</f>
        <v>14</v>
      </c>
      <c r="AK207" s="18">
        <f t="shared" si="69"/>
        <v>0.7142857142857143</v>
      </c>
    </row>
    <row r="208" spans="1:37" x14ac:dyDescent="0.35">
      <c r="A208" s="11" t="s">
        <v>426</v>
      </c>
      <c r="B208" s="12" t="s">
        <v>427</v>
      </c>
      <c r="C208" s="54" t="s">
        <v>1373</v>
      </c>
      <c r="D208" s="54" t="s">
        <v>366</v>
      </c>
      <c r="E208" s="66">
        <f t="shared" si="55"/>
        <v>15</v>
      </c>
      <c r="F208" s="13">
        <f t="shared" si="56"/>
        <v>0</v>
      </c>
      <c r="G208" s="67">
        <f t="shared" si="57"/>
        <v>15</v>
      </c>
      <c r="H208" s="64">
        <f t="shared" si="53"/>
        <v>15</v>
      </c>
      <c r="I208" s="80">
        <v>0</v>
      </c>
      <c r="J208" s="80">
        <v>15</v>
      </c>
      <c r="K208" s="59">
        <f t="shared" si="58"/>
        <v>15</v>
      </c>
      <c r="L208" s="59">
        <v>0</v>
      </c>
      <c r="M208" s="59">
        <v>0</v>
      </c>
      <c r="N208" s="59">
        <f t="shared" si="59"/>
        <v>0</v>
      </c>
      <c r="O208" s="15">
        <f t="shared" si="60"/>
        <v>0</v>
      </c>
      <c r="P208" s="87">
        <f t="shared" si="61"/>
        <v>0</v>
      </c>
      <c r="Q208" s="110">
        <v>0</v>
      </c>
      <c r="R208" s="59">
        <v>0</v>
      </c>
      <c r="S208" s="14">
        <v>0</v>
      </c>
      <c r="T208" s="59">
        <v>0</v>
      </c>
      <c r="U208" s="15">
        <f t="shared" si="54"/>
        <v>0</v>
      </c>
      <c r="V208" s="14">
        <v>0</v>
      </c>
      <c r="W208" s="15">
        <f t="shared" si="62"/>
        <v>0</v>
      </c>
      <c r="X208" s="14">
        <v>0</v>
      </c>
      <c r="Y208" s="75">
        <v>0</v>
      </c>
      <c r="Z208" s="87">
        <f t="shared" si="63"/>
        <v>0</v>
      </c>
      <c r="AA208" s="14">
        <f t="shared" si="64"/>
        <v>0</v>
      </c>
      <c r="AB208" s="75">
        <v>0</v>
      </c>
      <c r="AC208" s="75">
        <v>0</v>
      </c>
      <c r="AD208" s="59">
        <f t="shared" si="65"/>
        <v>0</v>
      </c>
      <c r="AE208" s="73">
        <v>0</v>
      </c>
      <c r="AF208" s="73">
        <v>0</v>
      </c>
      <c r="AG208" s="15">
        <f t="shared" si="66"/>
        <v>0</v>
      </c>
      <c r="AH208" s="16">
        <f t="shared" si="67"/>
        <v>15</v>
      </c>
      <c r="AI208" s="17">
        <f t="shared" si="68"/>
        <v>0</v>
      </c>
      <c r="AJ208" s="12">
        <f>VLOOKUP(A208,'PreK Proxy - Sept. 2024'!$A$2:$I$674,9,FALSE)</f>
        <v>11</v>
      </c>
      <c r="AK208" s="18">
        <f t="shared" si="69"/>
        <v>1</v>
      </c>
    </row>
    <row r="209" spans="1:37" x14ac:dyDescent="0.35">
      <c r="A209" s="11" t="s">
        <v>428</v>
      </c>
      <c r="B209" s="12" t="s">
        <v>429</v>
      </c>
      <c r="C209" s="54" t="s">
        <v>1373</v>
      </c>
      <c r="D209" s="54" t="s">
        <v>366</v>
      </c>
      <c r="E209" s="66">
        <f t="shared" si="55"/>
        <v>58</v>
      </c>
      <c r="F209" s="13">
        <f t="shared" si="56"/>
        <v>53</v>
      </c>
      <c r="G209" s="67">
        <f t="shared" si="57"/>
        <v>5</v>
      </c>
      <c r="H209" s="64">
        <f t="shared" si="53"/>
        <v>58</v>
      </c>
      <c r="I209" s="80">
        <v>0</v>
      </c>
      <c r="J209" s="80">
        <v>5</v>
      </c>
      <c r="K209" s="59">
        <f t="shared" si="58"/>
        <v>5</v>
      </c>
      <c r="L209" s="59">
        <v>0</v>
      </c>
      <c r="M209" s="59">
        <v>53</v>
      </c>
      <c r="N209" s="59">
        <f t="shared" si="59"/>
        <v>53</v>
      </c>
      <c r="O209" s="15">
        <f t="shared" si="60"/>
        <v>0</v>
      </c>
      <c r="P209" s="87">
        <f t="shared" si="61"/>
        <v>0</v>
      </c>
      <c r="Q209" s="110">
        <v>0</v>
      </c>
      <c r="R209" s="59">
        <v>0</v>
      </c>
      <c r="S209" s="14">
        <v>0</v>
      </c>
      <c r="T209" s="59">
        <v>0</v>
      </c>
      <c r="U209" s="15">
        <f t="shared" si="54"/>
        <v>0</v>
      </c>
      <c r="V209" s="14">
        <v>0</v>
      </c>
      <c r="W209" s="15">
        <f t="shared" si="62"/>
        <v>0</v>
      </c>
      <c r="X209" s="14">
        <v>0</v>
      </c>
      <c r="Y209" s="75">
        <v>0</v>
      </c>
      <c r="Z209" s="87">
        <f t="shared" si="63"/>
        <v>0</v>
      </c>
      <c r="AA209" s="14">
        <f t="shared" si="64"/>
        <v>0</v>
      </c>
      <c r="AB209" s="75">
        <v>0</v>
      </c>
      <c r="AC209" s="75">
        <v>0</v>
      </c>
      <c r="AD209" s="59">
        <f t="shared" si="65"/>
        <v>0</v>
      </c>
      <c r="AE209" s="73">
        <v>0</v>
      </c>
      <c r="AF209" s="73">
        <v>0</v>
      </c>
      <c r="AG209" s="15">
        <f t="shared" si="66"/>
        <v>0</v>
      </c>
      <c r="AH209" s="16">
        <f t="shared" si="67"/>
        <v>5</v>
      </c>
      <c r="AI209" s="17">
        <f t="shared" si="68"/>
        <v>53</v>
      </c>
      <c r="AJ209" s="12">
        <f>VLOOKUP(A209,'PreK Proxy - Sept. 2024'!$A$2:$I$674,9,FALSE)</f>
        <v>76</v>
      </c>
      <c r="AK209" s="18">
        <f t="shared" si="69"/>
        <v>0.76315789473684215</v>
      </c>
    </row>
    <row r="210" spans="1:37" x14ac:dyDescent="0.35">
      <c r="A210" s="11" t="s">
        <v>430</v>
      </c>
      <c r="B210" s="12" t="s">
        <v>431</v>
      </c>
      <c r="C210" s="54" t="s">
        <v>1373</v>
      </c>
      <c r="D210" s="54" t="s">
        <v>366</v>
      </c>
      <c r="E210" s="66">
        <f t="shared" si="55"/>
        <v>124</v>
      </c>
      <c r="F210" s="13">
        <f t="shared" si="56"/>
        <v>124</v>
      </c>
      <c r="G210" s="67">
        <f t="shared" si="57"/>
        <v>0</v>
      </c>
      <c r="H210" s="64">
        <f t="shared" si="53"/>
        <v>101</v>
      </c>
      <c r="I210" s="80">
        <v>0</v>
      </c>
      <c r="J210" s="80">
        <v>0</v>
      </c>
      <c r="K210" s="59">
        <f t="shared" si="58"/>
        <v>0</v>
      </c>
      <c r="L210" s="59">
        <v>0</v>
      </c>
      <c r="M210" s="59">
        <v>101</v>
      </c>
      <c r="N210" s="59">
        <f t="shared" si="59"/>
        <v>101</v>
      </c>
      <c r="O210" s="15">
        <f t="shared" si="60"/>
        <v>0</v>
      </c>
      <c r="P210" s="87">
        <f t="shared" si="61"/>
        <v>0</v>
      </c>
      <c r="Q210" s="110">
        <v>0</v>
      </c>
      <c r="R210" s="59">
        <v>0</v>
      </c>
      <c r="S210" s="14">
        <v>0</v>
      </c>
      <c r="T210" s="59">
        <v>0</v>
      </c>
      <c r="U210" s="15">
        <f t="shared" si="54"/>
        <v>0</v>
      </c>
      <c r="V210" s="14">
        <v>0</v>
      </c>
      <c r="W210" s="15">
        <f t="shared" si="62"/>
        <v>0</v>
      </c>
      <c r="X210" s="14">
        <v>0</v>
      </c>
      <c r="Y210" s="75">
        <v>0</v>
      </c>
      <c r="Z210" s="87">
        <f t="shared" si="63"/>
        <v>0</v>
      </c>
      <c r="AA210" s="14">
        <f t="shared" si="64"/>
        <v>23</v>
      </c>
      <c r="AB210" s="75">
        <v>0</v>
      </c>
      <c r="AC210" s="75">
        <v>0</v>
      </c>
      <c r="AD210" s="59">
        <f t="shared" si="65"/>
        <v>0</v>
      </c>
      <c r="AE210" s="73">
        <v>22</v>
      </c>
      <c r="AF210" s="73">
        <v>1</v>
      </c>
      <c r="AG210" s="15">
        <f t="shared" si="66"/>
        <v>23</v>
      </c>
      <c r="AH210" s="16">
        <f t="shared" si="67"/>
        <v>0</v>
      </c>
      <c r="AI210" s="17">
        <f t="shared" si="68"/>
        <v>102</v>
      </c>
      <c r="AJ210" s="12">
        <f>VLOOKUP(A210,'PreK Proxy - Sept. 2024'!$A$2:$I$674,9,FALSE)</f>
        <v>116</v>
      </c>
      <c r="AK210" s="18">
        <f t="shared" si="69"/>
        <v>0.87931034482758619</v>
      </c>
    </row>
    <row r="211" spans="1:37" x14ac:dyDescent="0.35">
      <c r="A211" s="11" t="s">
        <v>432</v>
      </c>
      <c r="B211" s="12" t="s">
        <v>433</v>
      </c>
      <c r="C211" s="54" t="s">
        <v>1383</v>
      </c>
      <c r="D211" s="54" t="s">
        <v>190</v>
      </c>
      <c r="E211" s="66">
        <f t="shared" si="55"/>
        <v>63</v>
      </c>
      <c r="F211" s="13">
        <f t="shared" si="56"/>
        <v>17</v>
      </c>
      <c r="G211" s="67">
        <f t="shared" si="57"/>
        <v>46</v>
      </c>
      <c r="H211" s="64">
        <f t="shared" si="53"/>
        <v>63</v>
      </c>
      <c r="I211" s="80">
        <v>0</v>
      </c>
      <c r="J211" s="80">
        <v>46</v>
      </c>
      <c r="K211" s="59">
        <f t="shared" si="58"/>
        <v>46</v>
      </c>
      <c r="L211" s="59">
        <v>0</v>
      </c>
      <c r="M211" s="59">
        <v>17</v>
      </c>
      <c r="N211" s="59">
        <f t="shared" si="59"/>
        <v>17</v>
      </c>
      <c r="O211" s="15">
        <f t="shared" si="60"/>
        <v>0</v>
      </c>
      <c r="P211" s="87">
        <f t="shared" si="61"/>
        <v>0</v>
      </c>
      <c r="Q211" s="110">
        <v>0</v>
      </c>
      <c r="R211" s="59">
        <v>0</v>
      </c>
      <c r="S211" s="14">
        <v>0</v>
      </c>
      <c r="T211" s="59">
        <v>0</v>
      </c>
      <c r="U211" s="15">
        <f t="shared" si="54"/>
        <v>0</v>
      </c>
      <c r="V211" s="14">
        <v>0</v>
      </c>
      <c r="W211" s="15">
        <f t="shared" si="62"/>
        <v>0</v>
      </c>
      <c r="X211" s="14">
        <v>0</v>
      </c>
      <c r="Y211" s="75">
        <v>0</v>
      </c>
      <c r="Z211" s="87">
        <f t="shared" si="63"/>
        <v>0</v>
      </c>
      <c r="AA211" s="14">
        <f t="shared" si="64"/>
        <v>0</v>
      </c>
      <c r="AB211" s="75">
        <v>0</v>
      </c>
      <c r="AC211" s="75">
        <v>0</v>
      </c>
      <c r="AD211" s="59">
        <f t="shared" si="65"/>
        <v>0</v>
      </c>
      <c r="AE211" s="73">
        <v>0</v>
      </c>
      <c r="AF211" s="73">
        <v>0</v>
      </c>
      <c r="AG211" s="15">
        <f t="shared" si="66"/>
        <v>0</v>
      </c>
      <c r="AH211" s="16">
        <f t="shared" si="67"/>
        <v>46</v>
      </c>
      <c r="AI211" s="17">
        <f t="shared" si="68"/>
        <v>17</v>
      </c>
      <c r="AJ211" s="12">
        <f>VLOOKUP(A211,'PreK Proxy - Sept. 2024'!$A$2:$I$674,9,FALSE)</f>
        <v>99</v>
      </c>
      <c r="AK211" s="18">
        <f t="shared" si="69"/>
        <v>0.63636363636363635</v>
      </c>
    </row>
    <row r="212" spans="1:37" x14ac:dyDescent="0.35">
      <c r="A212" s="11" t="s">
        <v>434</v>
      </c>
      <c r="B212" s="12" t="s">
        <v>435</v>
      </c>
      <c r="C212" s="54" t="s">
        <v>1383</v>
      </c>
      <c r="D212" s="54" t="s">
        <v>190</v>
      </c>
      <c r="E212" s="66">
        <f t="shared" si="55"/>
        <v>24</v>
      </c>
      <c r="F212" s="13">
        <f t="shared" si="56"/>
        <v>24</v>
      </c>
      <c r="G212" s="67">
        <f t="shared" si="57"/>
        <v>0</v>
      </c>
      <c r="H212" s="64">
        <f t="shared" si="53"/>
        <v>17</v>
      </c>
      <c r="I212" s="80">
        <v>0</v>
      </c>
      <c r="J212" s="80">
        <v>0</v>
      </c>
      <c r="K212" s="59">
        <f t="shared" si="58"/>
        <v>0</v>
      </c>
      <c r="L212" s="59">
        <v>0</v>
      </c>
      <c r="M212" s="59">
        <v>17</v>
      </c>
      <c r="N212" s="59">
        <f t="shared" si="59"/>
        <v>17</v>
      </c>
      <c r="O212" s="15">
        <f t="shared" si="60"/>
        <v>16</v>
      </c>
      <c r="P212" s="87">
        <f t="shared" si="61"/>
        <v>0</v>
      </c>
      <c r="Q212" s="110">
        <v>0</v>
      </c>
      <c r="R212" s="59">
        <v>0</v>
      </c>
      <c r="S212" s="14">
        <v>0</v>
      </c>
      <c r="T212" s="59">
        <v>0</v>
      </c>
      <c r="U212" s="15">
        <f t="shared" si="54"/>
        <v>0</v>
      </c>
      <c r="V212" s="14">
        <v>0</v>
      </c>
      <c r="W212" s="15">
        <f t="shared" si="62"/>
        <v>0</v>
      </c>
      <c r="X212" s="14">
        <v>7</v>
      </c>
      <c r="Y212" s="75">
        <v>16</v>
      </c>
      <c r="Z212" s="87">
        <f t="shared" si="63"/>
        <v>23</v>
      </c>
      <c r="AA212" s="14">
        <f t="shared" si="64"/>
        <v>0</v>
      </c>
      <c r="AB212" s="75">
        <v>0</v>
      </c>
      <c r="AC212" s="75">
        <v>0</v>
      </c>
      <c r="AD212" s="59">
        <f t="shared" si="65"/>
        <v>0</v>
      </c>
      <c r="AE212" s="73">
        <v>0</v>
      </c>
      <c r="AF212" s="73">
        <v>0</v>
      </c>
      <c r="AG212" s="15">
        <f t="shared" si="66"/>
        <v>0</v>
      </c>
      <c r="AH212" s="16">
        <f t="shared" si="67"/>
        <v>0</v>
      </c>
      <c r="AI212" s="17">
        <f t="shared" si="68"/>
        <v>24</v>
      </c>
      <c r="AJ212" s="12">
        <f>VLOOKUP(A212,'PreK Proxy - Sept. 2024'!$A$2:$I$674,9,FALSE)</f>
        <v>18</v>
      </c>
      <c r="AK212" s="18">
        <f t="shared" si="69"/>
        <v>1</v>
      </c>
    </row>
    <row r="213" spans="1:37" x14ac:dyDescent="0.35">
      <c r="A213" s="11" t="s">
        <v>436</v>
      </c>
      <c r="B213" s="12" t="s">
        <v>437</v>
      </c>
      <c r="C213" s="54" t="s">
        <v>1383</v>
      </c>
      <c r="D213" s="54" t="s">
        <v>190</v>
      </c>
      <c r="E213" s="66">
        <f t="shared" si="55"/>
        <v>147</v>
      </c>
      <c r="F213" s="13">
        <f t="shared" si="56"/>
        <v>98</v>
      </c>
      <c r="G213" s="67">
        <f t="shared" si="57"/>
        <v>49</v>
      </c>
      <c r="H213" s="64">
        <f t="shared" si="53"/>
        <v>147</v>
      </c>
      <c r="I213" s="80">
        <v>0</v>
      </c>
      <c r="J213" s="80">
        <v>49</v>
      </c>
      <c r="K213" s="59">
        <f t="shared" si="58"/>
        <v>49</v>
      </c>
      <c r="L213" s="59">
        <v>0</v>
      </c>
      <c r="M213" s="59">
        <v>98</v>
      </c>
      <c r="N213" s="59">
        <f t="shared" si="59"/>
        <v>98</v>
      </c>
      <c r="O213" s="15">
        <f t="shared" si="60"/>
        <v>0</v>
      </c>
      <c r="P213" s="87">
        <f t="shared" si="61"/>
        <v>0</v>
      </c>
      <c r="Q213" s="110">
        <v>0</v>
      </c>
      <c r="R213" s="59">
        <v>0</v>
      </c>
      <c r="S213" s="14">
        <v>0</v>
      </c>
      <c r="T213" s="59">
        <v>0</v>
      </c>
      <c r="U213" s="15">
        <f t="shared" si="54"/>
        <v>0</v>
      </c>
      <c r="V213" s="14">
        <v>0</v>
      </c>
      <c r="W213" s="15">
        <f t="shared" si="62"/>
        <v>0</v>
      </c>
      <c r="X213" s="14">
        <v>0</v>
      </c>
      <c r="Y213" s="75">
        <v>0</v>
      </c>
      <c r="Z213" s="87">
        <f t="shared" si="63"/>
        <v>0</v>
      </c>
      <c r="AA213" s="14">
        <f t="shared" si="64"/>
        <v>0</v>
      </c>
      <c r="AB213" s="75">
        <v>0</v>
      </c>
      <c r="AC213" s="75">
        <v>0</v>
      </c>
      <c r="AD213" s="59">
        <f t="shared" si="65"/>
        <v>0</v>
      </c>
      <c r="AE213" s="73">
        <v>0</v>
      </c>
      <c r="AF213" s="73">
        <v>0</v>
      </c>
      <c r="AG213" s="15">
        <f t="shared" si="66"/>
        <v>0</v>
      </c>
      <c r="AH213" s="16">
        <f t="shared" si="67"/>
        <v>49</v>
      </c>
      <c r="AI213" s="17">
        <f t="shared" si="68"/>
        <v>98</v>
      </c>
      <c r="AJ213" s="12">
        <f>VLOOKUP(A213,'PreK Proxy - Sept. 2024'!$A$2:$I$674,9,FALSE)</f>
        <v>300</v>
      </c>
      <c r="AK213" s="18">
        <f t="shared" si="69"/>
        <v>0.49</v>
      </c>
    </row>
    <row r="214" spans="1:37" x14ac:dyDescent="0.35">
      <c r="A214" s="11" t="s">
        <v>438</v>
      </c>
      <c r="B214" s="12" t="s">
        <v>439</v>
      </c>
      <c r="C214" s="54" t="s">
        <v>1383</v>
      </c>
      <c r="D214" s="54" t="s">
        <v>190</v>
      </c>
      <c r="E214" s="66">
        <f t="shared" si="55"/>
        <v>52</v>
      </c>
      <c r="F214" s="13">
        <f t="shared" si="56"/>
        <v>0</v>
      </c>
      <c r="G214" s="67">
        <f t="shared" si="57"/>
        <v>52</v>
      </c>
      <c r="H214" s="64">
        <f t="shared" si="53"/>
        <v>52</v>
      </c>
      <c r="I214" s="80">
        <v>0</v>
      </c>
      <c r="J214" s="80">
        <v>52</v>
      </c>
      <c r="K214" s="59">
        <f t="shared" si="58"/>
        <v>52</v>
      </c>
      <c r="L214" s="59">
        <v>0</v>
      </c>
      <c r="M214" s="59">
        <v>0</v>
      </c>
      <c r="N214" s="59">
        <f t="shared" si="59"/>
        <v>0</v>
      </c>
      <c r="O214" s="15">
        <f t="shared" si="60"/>
        <v>0</v>
      </c>
      <c r="P214" s="87">
        <f t="shared" si="61"/>
        <v>0</v>
      </c>
      <c r="Q214" s="110">
        <v>0</v>
      </c>
      <c r="R214" s="59">
        <v>0</v>
      </c>
      <c r="S214" s="14">
        <v>0</v>
      </c>
      <c r="T214" s="59">
        <v>0</v>
      </c>
      <c r="U214" s="15">
        <f t="shared" si="54"/>
        <v>0</v>
      </c>
      <c r="V214" s="14">
        <v>0</v>
      </c>
      <c r="W214" s="15">
        <f t="shared" si="62"/>
        <v>0</v>
      </c>
      <c r="X214" s="14">
        <v>0</v>
      </c>
      <c r="Y214" s="75">
        <v>0</v>
      </c>
      <c r="Z214" s="87">
        <f t="shared" si="63"/>
        <v>0</v>
      </c>
      <c r="AA214" s="14">
        <f t="shared" si="64"/>
        <v>0</v>
      </c>
      <c r="AB214" s="75">
        <v>0</v>
      </c>
      <c r="AC214" s="75">
        <v>0</v>
      </c>
      <c r="AD214" s="59">
        <f t="shared" si="65"/>
        <v>0</v>
      </c>
      <c r="AE214" s="73">
        <v>0</v>
      </c>
      <c r="AF214" s="73">
        <v>0</v>
      </c>
      <c r="AG214" s="15">
        <f t="shared" si="66"/>
        <v>0</v>
      </c>
      <c r="AH214" s="16">
        <f t="shared" si="67"/>
        <v>52</v>
      </c>
      <c r="AI214" s="17">
        <f t="shared" si="68"/>
        <v>0</v>
      </c>
      <c r="AJ214" s="12">
        <f>VLOOKUP(A214,'PreK Proxy - Sept. 2024'!$A$2:$I$674,9,FALSE)</f>
        <v>86</v>
      </c>
      <c r="AK214" s="18">
        <f t="shared" si="69"/>
        <v>0.60465116279069764</v>
      </c>
    </row>
    <row r="215" spans="1:37" x14ac:dyDescent="0.35">
      <c r="A215" s="11" t="s">
        <v>440</v>
      </c>
      <c r="B215" s="12" t="s">
        <v>441</v>
      </c>
      <c r="C215" s="54" t="s">
        <v>1383</v>
      </c>
      <c r="D215" s="54" t="s">
        <v>190</v>
      </c>
      <c r="E215" s="66">
        <f t="shared" si="55"/>
        <v>38</v>
      </c>
      <c r="F215" s="13">
        <f t="shared" si="56"/>
        <v>38</v>
      </c>
      <c r="G215" s="67">
        <f t="shared" si="57"/>
        <v>0</v>
      </c>
      <c r="H215" s="64">
        <f t="shared" si="53"/>
        <v>0</v>
      </c>
      <c r="I215" s="80">
        <v>0</v>
      </c>
      <c r="J215" s="80">
        <v>0</v>
      </c>
      <c r="K215" s="59">
        <f t="shared" si="58"/>
        <v>0</v>
      </c>
      <c r="L215" s="59">
        <v>0</v>
      </c>
      <c r="M215" s="59">
        <v>0</v>
      </c>
      <c r="N215" s="59">
        <f t="shared" si="59"/>
        <v>0</v>
      </c>
      <c r="O215" s="15">
        <f t="shared" si="60"/>
        <v>0</v>
      </c>
      <c r="P215" s="87">
        <f t="shared" si="61"/>
        <v>20</v>
      </c>
      <c r="Q215" s="110">
        <v>0</v>
      </c>
      <c r="R215" s="59">
        <v>20</v>
      </c>
      <c r="S215" s="14">
        <v>0</v>
      </c>
      <c r="T215" s="59">
        <v>0</v>
      </c>
      <c r="U215" s="15">
        <f t="shared" si="54"/>
        <v>0</v>
      </c>
      <c r="V215" s="14">
        <v>18</v>
      </c>
      <c r="W215" s="15">
        <f t="shared" si="62"/>
        <v>18</v>
      </c>
      <c r="X215" s="14">
        <v>0</v>
      </c>
      <c r="Y215" s="75">
        <v>0</v>
      </c>
      <c r="Z215" s="87">
        <f t="shared" si="63"/>
        <v>0</v>
      </c>
      <c r="AA215" s="14">
        <f t="shared" si="64"/>
        <v>0</v>
      </c>
      <c r="AB215" s="75">
        <v>0</v>
      </c>
      <c r="AC215" s="75">
        <v>0</v>
      </c>
      <c r="AD215" s="59">
        <f t="shared" si="65"/>
        <v>0</v>
      </c>
      <c r="AE215" s="73">
        <v>0</v>
      </c>
      <c r="AF215" s="73">
        <v>0</v>
      </c>
      <c r="AG215" s="15">
        <f t="shared" si="66"/>
        <v>0</v>
      </c>
      <c r="AH215" s="16">
        <f t="shared" si="67"/>
        <v>0</v>
      </c>
      <c r="AI215" s="17">
        <f t="shared" si="68"/>
        <v>38</v>
      </c>
      <c r="AJ215" s="12">
        <f>VLOOKUP(A215,'PreK Proxy - Sept. 2024'!$A$2:$I$674,9,FALSE)</f>
        <v>70</v>
      </c>
      <c r="AK215" s="18">
        <f t="shared" si="69"/>
        <v>0.54285714285714282</v>
      </c>
    </row>
    <row r="216" spans="1:37" x14ac:dyDescent="0.35">
      <c r="A216" s="11" t="s">
        <v>442</v>
      </c>
      <c r="B216" s="12" t="s">
        <v>443</v>
      </c>
      <c r="C216" s="54" t="s">
        <v>1383</v>
      </c>
      <c r="D216" s="54" t="s">
        <v>190</v>
      </c>
      <c r="E216" s="66">
        <f t="shared" si="55"/>
        <v>26</v>
      </c>
      <c r="F216" s="13">
        <f t="shared" si="56"/>
        <v>0</v>
      </c>
      <c r="G216" s="67">
        <f t="shared" si="57"/>
        <v>26</v>
      </c>
      <c r="H216" s="64">
        <f t="shared" si="53"/>
        <v>26</v>
      </c>
      <c r="I216" s="80">
        <v>0</v>
      </c>
      <c r="J216" s="80">
        <v>26</v>
      </c>
      <c r="K216" s="59">
        <f t="shared" si="58"/>
        <v>26</v>
      </c>
      <c r="L216" s="59">
        <v>0</v>
      </c>
      <c r="M216" s="59">
        <v>0</v>
      </c>
      <c r="N216" s="59">
        <f t="shared" si="59"/>
        <v>0</v>
      </c>
      <c r="O216" s="15">
        <f t="shared" si="60"/>
        <v>0</v>
      </c>
      <c r="P216" s="87">
        <f t="shared" si="61"/>
        <v>0</v>
      </c>
      <c r="Q216" s="110">
        <v>0</v>
      </c>
      <c r="R216" s="59">
        <v>0</v>
      </c>
      <c r="S216" s="14">
        <v>0</v>
      </c>
      <c r="T216" s="59">
        <v>0</v>
      </c>
      <c r="U216" s="15">
        <f t="shared" si="54"/>
        <v>0</v>
      </c>
      <c r="V216" s="14">
        <v>0</v>
      </c>
      <c r="W216" s="15">
        <f t="shared" si="62"/>
        <v>0</v>
      </c>
      <c r="X216" s="14">
        <v>0</v>
      </c>
      <c r="Y216" s="75">
        <v>0</v>
      </c>
      <c r="Z216" s="87">
        <f t="shared" si="63"/>
        <v>0</v>
      </c>
      <c r="AA216" s="14">
        <f t="shared" si="64"/>
        <v>0</v>
      </c>
      <c r="AB216" s="75">
        <v>0</v>
      </c>
      <c r="AC216" s="75">
        <v>0</v>
      </c>
      <c r="AD216" s="59">
        <f t="shared" si="65"/>
        <v>0</v>
      </c>
      <c r="AE216" s="73">
        <v>0</v>
      </c>
      <c r="AF216" s="73">
        <v>0</v>
      </c>
      <c r="AG216" s="15">
        <f t="shared" si="66"/>
        <v>0</v>
      </c>
      <c r="AH216" s="16">
        <f t="shared" si="67"/>
        <v>26</v>
      </c>
      <c r="AI216" s="17">
        <f t="shared" si="68"/>
        <v>0</v>
      </c>
      <c r="AJ216" s="12">
        <f>VLOOKUP(A216,'PreK Proxy - Sept. 2024'!$A$2:$I$674,9,FALSE)</f>
        <v>31</v>
      </c>
      <c r="AK216" s="18">
        <f t="shared" si="69"/>
        <v>0.83870967741935487</v>
      </c>
    </row>
    <row r="217" spans="1:37" x14ac:dyDescent="0.35">
      <c r="A217" s="11" t="s">
        <v>444</v>
      </c>
      <c r="B217" s="12" t="s">
        <v>445</v>
      </c>
      <c r="C217" s="54" t="s">
        <v>1383</v>
      </c>
      <c r="D217" s="54" t="s">
        <v>190</v>
      </c>
      <c r="E217" s="66">
        <f t="shared" si="55"/>
        <v>17</v>
      </c>
      <c r="F217" s="13">
        <f t="shared" si="56"/>
        <v>17</v>
      </c>
      <c r="G217" s="67">
        <f t="shared" si="57"/>
        <v>0</v>
      </c>
      <c r="H217" s="64">
        <f t="shared" si="53"/>
        <v>17</v>
      </c>
      <c r="I217" s="80">
        <v>0</v>
      </c>
      <c r="J217" s="80">
        <v>0</v>
      </c>
      <c r="K217" s="59">
        <f t="shared" si="58"/>
        <v>0</v>
      </c>
      <c r="L217" s="59">
        <v>0</v>
      </c>
      <c r="M217" s="59">
        <v>17</v>
      </c>
      <c r="N217" s="59">
        <f t="shared" si="59"/>
        <v>17</v>
      </c>
      <c r="O217" s="15">
        <f t="shared" si="60"/>
        <v>0</v>
      </c>
      <c r="P217" s="87">
        <f t="shared" si="61"/>
        <v>0</v>
      </c>
      <c r="Q217" s="110">
        <v>0</v>
      </c>
      <c r="R217" s="59">
        <v>0</v>
      </c>
      <c r="S217" s="14">
        <v>0</v>
      </c>
      <c r="T217" s="59">
        <v>0</v>
      </c>
      <c r="U217" s="15">
        <f t="shared" si="54"/>
        <v>0</v>
      </c>
      <c r="V217" s="14">
        <v>0</v>
      </c>
      <c r="W217" s="15">
        <f t="shared" si="62"/>
        <v>0</v>
      </c>
      <c r="X217" s="14">
        <v>0</v>
      </c>
      <c r="Y217" s="75">
        <v>0</v>
      </c>
      <c r="Z217" s="87">
        <f t="shared" si="63"/>
        <v>0</v>
      </c>
      <c r="AA217" s="14">
        <f t="shared" si="64"/>
        <v>0</v>
      </c>
      <c r="AB217" s="75">
        <v>0</v>
      </c>
      <c r="AC217" s="75">
        <v>0</v>
      </c>
      <c r="AD217" s="59">
        <f t="shared" si="65"/>
        <v>0</v>
      </c>
      <c r="AE217" s="73">
        <v>0</v>
      </c>
      <c r="AF217" s="73">
        <v>0</v>
      </c>
      <c r="AG217" s="15">
        <f t="shared" si="66"/>
        <v>0</v>
      </c>
      <c r="AH217" s="16">
        <f t="shared" si="67"/>
        <v>0</v>
      </c>
      <c r="AI217" s="17">
        <f t="shared" si="68"/>
        <v>17</v>
      </c>
      <c r="AJ217" s="12">
        <f>VLOOKUP(A217,'PreK Proxy - Sept. 2024'!$A$2:$I$674,9,FALSE)</f>
        <v>28</v>
      </c>
      <c r="AK217" s="18">
        <f t="shared" si="69"/>
        <v>0.6071428571428571</v>
      </c>
    </row>
    <row r="218" spans="1:37" x14ac:dyDescent="0.35">
      <c r="A218" s="11" t="s">
        <v>446</v>
      </c>
      <c r="B218" s="12" t="s">
        <v>447</v>
      </c>
      <c r="C218" s="54" t="s">
        <v>1383</v>
      </c>
      <c r="D218" s="54" t="s">
        <v>190</v>
      </c>
      <c r="E218" s="66">
        <f t="shared" si="55"/>
        <v>16</v>
      </c>
      <c r="F218" s="13">
        <f t="shared" si="56"/>
        <v>16</v>
      </c>
      <c r="G218" s="67">
        <f t="shared" si="57"/>
        <v>0</v>
      </c>
      <c r="H218" s="64">
        <f t="shared" si="53"/>
        <v>16</v>
      </c>
      <c r="I218" s="80">
        <v>0</v>
      </c>
      <c r="J218" s="80">
        <v>0</v>
      </c>
      <c r="K218" s="59">
        <f t="shared" si="58"/>
        <v>0</v>
      </c>
      <c r="L218" s="59">
        <v>0</v>
      </c>
      <c r="M218" s="59">
        <v>16</v>
      </c>
      <c r="N218" s="59">
        <f t="shared" si="59"/>
        <v>16</v>
      </c>
      <c r="O218" s="15">
        <f t="shared" si="60"/>
        <v>0</v>
      </c>
      <c r="P218" s="87">
        <f t="shared" si="61"/>
        <v>0</v>
      </c>
      <c r="Q218" s="110">
        <v>0</v>
      </c>
      <c r="R218" s="59">
        <v>0</v>
      </c>
      <c r="S218" s="14">
        <v>0</v>
      </c>
      <c r="T218" s="59">
        <v>0</v>
      </c>
      <c r="U218" s="15">
        <f t="shared" si="54"/>
        <v>0</v>
      </c>
      <c r="V218" s="14">
        <v>0</v>
      </c>
      <c r="W218" s="15">
        <f t="shared" si="62"/>
        <v>0</v>
      </c>
      <c r="X218" s="14">
        <v>0</v>
      </c>
      <c r="Y218" s="75">
        <v>0</v>
      </c>
      <c r="Z218" s="87">
        <f t="shared" si="63"/>
        <v>0</v>
      </c>
      <c r="AA218" s="14">
        <f t="shared" si="64"/>
        <v>0</v>
      </c>
      <c r="AB218" s="75">
        <v>0</v>
      </c>
      <c r="AC218" s="75">
        <v>0</v>
      </c>
      <c r="AD218" s="59">
        <f t="shared" si="65"/>
        <v>0</v>
      </c>
      <c r="AE218" s="73">
        <v>0</v>
      </c>
      <c r="AF218" s="73">
        <v>0</v>
      </c>
      <c r="AG218" s="15">
        <f t="shared" si="66"/>
        <v>0</v>
      </c>
      <c r="AH218" s="16">
        <f t="shared" si="67"/>
        <v>0</v>
      </c>
      <c r="AI218" s="17">
        <f t="shared" si="68"/>
        <v>16</v>
      </c>
      <c r="AJ218" s="12">
        <f>VLOOKUP(A218,'PreK Proxy - Sept. 2024'!$A$2:$I$674,9,FALSE)</f>
        <v>11</v>
      </c>
      <c r="AK218" s="18">
        <f t="shared" si="69"/>
        <v>1</v>
      </c>
    </row>
    <row r="219" spans="1:37" x14ac:dyDescent="0.35">
      <c r="A219" s="11" t="s">
        <v>448</v>
      </c>
      <c r="B219" s="12" t="s">
        <v>449</v>
      </c>
      <c r="C219" s="54" t="s">
        <v>1383</v>
      </c>
      <c r="D219" s="54" t="s">
        <v>190</v>
      </c>
      <c r="E219" s="66">
        <f t="shared" si="55"/>
        <v>18</v>
      </c>
      <c r="F219" s="13">
        <f t="shared" si="56"/>
        <v>0</v>
      </c>
      <c r="G219" s="67">
        <f t="shared" si="57"/>
        <v>18</v>
      </c>
      <c r="H219" s="64">
        <f t="shared" si="53"/>
        <v>18</v>
      </c>
      <c r="I219" s="80">
        <v>0</v>
      </c>
      <c r="J219" s="80">
        <v>18</v>
      </c>
      <c r="K219" s="59">
        <f t="shared" si="58"/>
        <v>18</v>
      </c>
      <c r="L219" s="59">
        <v>0</v>
      </c>
      <c r="M219" s="59">
        <v>0</v>
      </c>
      <c r="N219" s="59">
        <f t="shared" si="59"/>
        <v>0</v>
      </c>
      <c r="O219" s="15">
        <f t="shared" si="60"/>
        <v>0</v>
      </c>
      <c r="P219" s="87">
        <f t="shared" si="61"/>
        <v>0</v>
      </c>
      <c r="Q219" s="110">
        <v>0</v>
      </c>
      <c r="R219" s="59">
        <v>0</v>
      </c>
      <c r="S219" s="14">
        <v>0</v>
      </c>
      <c r="T219" s="59">
        <v>0</v>
      </c>
      <c r="U219" s="15">
        <f t="shared" si="54"/>
        <v>0</v>
      </c>
      <c r="V219" s="14">
        <v>0</v>
      </c>
      <c r="W219" s="15">
        <f t="shared" si="62"/>
        <v>0</v>
      </c>
      <c r="X219" s="14">
        <v>0</v>
      </c>
      <c r="Y219" s="75">
        <v>0</v>
      </c>
      <c r="Z219" s="87">
        <f t="shared" si="63"/>
        <v>0</v>
      </c>
      <c r="AA219" s="14">
        <f t="shared" si="64"/>
        <v>0</v>
      </c>
      <c r="AB219" s="75">
        <v>0</v>
      </c>
      <c r="AC219" s="75">
        <v>0</v>
      </c>
      <c r="AD219" s="59">
        <f t="shared" si="65"/>
        <v>0</v>
      </c>
      <c r="AE219" s="73">
        <v>0</v>
      </c>
      <c r="AF219" s="73">
        <v>0</v>
      </c>
      <c r="AG219" s="15">
        <f t="shared" si="66"/>
        <v>0</v>
      </c>
      <c r="AH219" s="16">
        <f t="shared" si="67"/>
        <v>18</v>
      </c>
      <c r="AI219" s="17">
        <f t="shared" si="68"/>
        <v>0</v>
      </c>
      <c r="AJ219" s="12">
        <f>VLOOKUP(A219,'PreK Proxy - Sept. 2024'!$A$2:$I$674,9,FALSE)</f>
        <v>28</v>
      </c>
      <c r="AK219" s="18">
        <f t="shared" si="69"/>
        <v>0.6428571428571429</v>
      </c>
    </row>
    <row r="220" spans="1:37" x14ac:dyDescent="0.35">
      <c r="A220" s="11" t="s">
        <v>450</v>
      </c>
      <c r="B220" s="12" t="s">
        <v>451</v>
      </c>
      <c r="C220" s="54" t="s">
        <v>1383</v>
      </c>
      <c r="D220" s="54" t="s">
        <v>190</v>
      </c>
      <c r="E220" s="66">
        <f t="shared" si="55"/>
        <v>377</v>
      </c>
      <c r="F220" s="13">
        <f t="shared" si="56"/>
        <v>341</v>
      </c>
      <c r="G220" s="67">
        <f t="shared" si="57"/>
        <v>36</v>
      </c>
      <c r="H220" s="64">
        <f t="shared" si="53"/>
        <v>377</v>
      </c>
      <c r="I220" s="80">
        <v>0</v>
      </c>
      <c r="J220" s="80">
        <v>36</v>
      </c>
      <c r="K220" s="59">
        <f t="shared" si="58"/>
        <v>36</v>
      </c>
      <c r="L220" s="59">
        <v>143</v>
      </c>
      <c r="M220" s="59">
        <v>198</v>
      </c>
      <c r="N220" s="59">
        <f t="shared" si="59"/>
        <v>341</v>
      </c>
      <c r="O220" s="15">
        <f t="shared" si="60"/>
        <v>0</v>
      </c>
      <c r="P220" s="87">
        <f t="shared" si="61"/>
        <v>0</v>
      </c>
      <c r="Q220" s="110">
        <v>0</v>
      </c>
      <c r="R220" s="59">
        <v>0</v>
      </c>
      <c r="S220" s="14">
        <v>0</v>
      </c>
      <c r="T220" s="59">
        <v>0</v>
      </c>
      <c r="U220" s="15">
        <f t="shared" si="54"/>
        <v>0</v>
      </c>
      <c r="V220" s="14">
        <v>0</v>
      </c>
      <c r="W220" s="15">
        <f t="shared" si="62"/>
        <v>0</v>
      </c>
      <c r="X220" s="14">
        <v>0</v>
      </c>
      <c r="Y220" s="75">
        <v>0</v>
      </c>
      <c r="Z220" s="87">
        <f t="shared" si="63"/>
        <v>0</v>
      </c>
      <c r="AA220" s="14">
        <f t="shared" si="64"/>
        <v>0</v>
      </c>
      <c r="AB220" s="75">
        <v>0</v>
      </c>
      <c r="AC220" s="75">
        <v>0</v>
      </c>
      <c r="AD220" s="59">
        <f t="shared" si="65"/>
        <v>0</v>
      </c>
      <c r="AE220" s="73">
        <v>0</v>
      </c>
      <c r="AF220" s="73">
        <v>0</v>
      </c>
      <c r="AG220" s="15">
        <f t="shared" si="66"/>
        <v>0</v>
      </c>
      <c r="AH220" s="16">
        <f t="shared" si="67"/>
        <v>36</v>
      </c>
      <c r="AI220" s="17">
        <f t="shared" si="68"/>
        <v>198</v>
      </c>
      <c r="AJ220" s="12">
        <f>VLOOKUP(A220,'PreK Proxy - Sept. 2024'!$A$2:$I$674,9,FALSE)</f>
        <v>336</v>
      </c>
      <c r="AK220" s="18">
        <f t="shared" si="69"/>
        <v>0.6964285714285714</v>
      </c>
    </row>
    <row r="221" spans="1:37" x14ac:dyDescent="0.35">
      <c r="A221" s="11" t="s">
        <v>452</v>
      </c>
      <c r="B221" s="12" t="s">
        <v>453</v>
      </c>
      <c r="C221" s="54" t="s">
        <v>1383</v>
      </c>
      <c r="D221" s="54" t="s">
        <v>190</v>
      </c>
      <c r="E221" s="66">
        <f t="shared" si="55"/>
        <v>128</v>
      </c>
      <c r="F221" s="13">
        <f t="shared" si="56"/>
        <v>0</v>
      </c>
      <c r="G221" s="67">
        <f t="shared" si="57"/>
        <v>128</v>
      </c>
      <c r="H221" s="64">
        <f t="shared" si="53"/>
        <v>128</v>
      </c>
      <c r="I221" s="80">
        <v>0</v>
      </c>
      <c r="J221" s="80">
        <v>128</v>
      </c>
      <c r="K221" s="59">
        <f t="shared" si="58"/>
        <v>128</v>
      </c>
      <c r="L221" s="59">
        <v>0</v>
      </c>
      <c r="M221" s="59">
        <v>0</v>
      </c>
      <c r="N221" s="59">
        <f t="shared" si="59"/>
        <v>0</v>
      </c>
      <c r="O221" s="15">
        <f t="shared" si="60"/>
        <v>0</v>
      </c>
      <c r="P221" s="87">
        <f t="shared" si="61"/>
        <v>0</v>
      </c>
      <c r="Q221" s="110">
        <v>0</v>
      </c>
      <c r="R221" s="59">
        <v>0</v>
      </c>
      <c r="S221" s="14">
        <v>0</v>
      </c>
      <c r="T221" s="59">
        <v>0</v>
      </c>
      <c r="U221" s="15">
        <f t="shared" si="54"/>
        <v>0</v>
      </c>
      <c r="V221" s="14">
        <v>0</v>
      </c>
      <c r="W221" s="15">
        <f t="shared" si="62"/>
        <v>0</v>
      </c>
      <c r="X221" s="14">
        <v>0</v>
      </c>
      <c r="Y221" s="75">
        <v>0</v>
      </c>
      <c r="Z221" s="87">
        <f t="shared" si="63"/>
        <v>0</v>
      </c>
      <c r="AA221" s="14">
        <f t="shared" si="64"/>
        <v>0</v>
      </c>
      <c r="AB221" s="75">
        <v>0</v>
      </c>
      <c r="AC221" s="75">
        <v>0</v>
      </c>
      <c r="AD221" s="59">
        <f t="shared" si="65"/>
        <v>0</v>
      </c>
      <c r="AE221" s="73">
        <v>0</v>
      </c>
      <c r="AF221" s="73">
        <v>0</v>
      </c>
      <c r="AG221" s="15">
        <f t="shared" si="66"/>
        <v>0</v>
      </c>
      <c r="AH221" s="16">
        <f t="shared" si="67"/>
        <v>128</v>
      </c>
      <c r="AI221" s="17">
        <f t="shared" si="68"/>
        <v>0</v>
      </c>
      <c r="AJ221" s="12">
        <f>VLOOKUP(A221,'PreK Proxy - Sept. 2024'!$A$2:$I$674,9,FALSE)</f>
        <v>234</v>
      </c>
      <c r="AK221" s="18">
        <f t="shared" si="69"/>
        <v>0.54700854700854706</v>
      </c>
    </row>
    <row r="222" spans="1:37" x14ac:dyDescent="0.35">
      <c r="A222" s="11" t="s">
        <v>454</v>
      </c>
      <c r="B222" s="12" t="s">
        <v>455</v>
      </c>
      <c r="C222" s="54" t="s">
        <v>1454</v>
      </c>
      <c r="D222" s="54" t="s">
        <v>190</v>
      </c>
      <c r="E222" s="66">
        <f t="shared" si="55"/>
        <v>36</v>
      </c>
      <c r="F222" s="13">
        <f t="shared" si="56"/>
        <v>25</v>
      </c>
      <c r="G222" s="67">
        <f t="shared" si="57"/>
        <v>11</v>
      </c>
      <c r="H222" s="64">
        <f t="shared" si="53"/>
        <v>36</v>
      </c>
      <c r="I222" s="80">
        <v>10</v>
      </c>
      <c r="J222" s="80">
        <v>1</v>
      </c>
      <c r="K222" s="59">
        <f t="shared" si="58"/>
        <v>11</v>
      </c>
      <c r="L222" s="59">
        <v>0</v>
      </c>
      <c r="M222" s="59">
        <v>25</v>
      </c>
      <c r="N222" s="59">
        <f t="shared" si="59"/>
        <v>25</v>
      </c>
      <c r="O222" s="15">
        <f t="shared" si="60"/>
        <v>0</v>
      </c>
      <c r="P222" s="87">
        <f t="shared" si="61"/>
        <v>0</v>
      </c>
      <c r="Q222" s="110">
        <v>0</v>
      </c>
      <c r="R222" s="59">
        <v>0</v>
      </c>
      <c r="S222" s="14">
        <v>0</v>
      </c>
      <c r="T222" s="59">
        <v>0</v>
      </c>
      <c r="U222" s="15">
        <f t="shared" si="54"/>
        <v>0</v>
      </c>
      <c r="V222" s="14">
        <v>0</v>
      </c>
      <c r="W222" s="15">
        <f t="shared" si="62"/>
        <v>0</v>
      </c>
      <c r="X222" s="14">
        <v>0</v>
      </c>
      <c r="Y222" s="75">
        <v>0</v>
      </c>
      <c r="Z222" s="87">
        <f t="shared" si="63"/>
        <v>0</v>
      </c>
      <c r="AA222" s="14">
        <f t="shared" si="64"/>
        <v>0</v>
      </c>
      <c r="AB222" s="75">
        <v>0</v>
      </c>
      <c r="AC222" s="75">
        <v>0</v>
      </c>
      <c r="AD222" s="59">
        <f t="shared" si="65"/>
        <v>0</v>
      </c>
      <c r="AE222" s="73">
        <v>0</v>
      </c>
      <c r="AF222" s="73">
        <v>0</v>
      </c>
      <c r="AG222" s="15">
        <f t="shared" si="66"/>
        <v>0</v>
      </c>
      <c r="AH222" s="16">
        <f t="shared" si="67"/>
        <v>1</v>
      </c>
      <c r="AI222" s="17">
        <f t="shared" si="68"/>
        <v>25</v>
      </c>
      <c r="AJ222" s="12">
        <f>VLOOKUP(A222,'PreK Proxy - Sept. 2024'!$A$2:$I$674,9,FALSE)</f>
        <v>23</v>
      </c>
      <c r="AK222" s="18">
        <f t="shared" si="69"/>
        <v>1</v>
      </c>
    </row>
    <row r="223" spans="1:37" x14ac:dyDescent="0.35">
      <c r="A223" s="11" t="s">
        <v>456</v>
      </c>
      <c r="B223" s="12" t="s">
        <v>457</v>
      </c>
      <c r="C223" s="54" t="s">
        <v>1454</v>
      </c>
      <c r="D223" s="54" t="s">
        <v>190</v>
      </c>
      <c r="E223" s="66">
        <f t="shared" si="55"/>
        <v>19</v>
      </c>
      <c r="F223" s="13">
        <f t="shared" si="56"/>
        <v>0</v>
      </c>
      <c r="G223" s="67">
        <f t="shared" si="57"/>
        <v>19</v>
      </c>
      <c r="H223" s="64">
        <f t="shared" si="53"/>
        <v>19</v>
      </c>
      <c r="I223" s="80">
        <v>0</v>
      </c>
      <c r="J223" s="80">
        <v>19</v>
      </c>
      <c r="K223" s="59">
        <f t="shared" si="58"/>
        <v>19</v>
      </c>
      <c r="L223" s="59">
        <v>0</v>
      </c>
      <c r="M223" s="59">
        <v>0</v>
      </c>
      <c r="N223" s="59">
        <f t="shared" si="59"/>
        <v>0</v>
      </c>
      <c r="O223" s="15">
        <f t="shared" si="60"/>
        <v>0</v>
      </c>
      <c r="P223" s="87">
        <f t="shared" si="61"/>
        <v>0</v>
      </c>
      <c r="Q223" s="110">
        <v>0</v>
      </c>
      <c r="R223" s="59">
        <v>0</v>
      </c>
      <c r="S223" s="14">
        <v>0</v>
      </c>
      <c r="T223" s="59">
        <v>0</v>
      </c>
      <c r="U223" s="15">
        <f t="shared" si="54"/>
        <v>0</v>
      </c>
      <c r="V223" s="14">
        <v>0</v>
      </c>
      <c r="W223" s="15">
        <f t="shared" si="62"/>
        <v>0</v>
      </c>
      <c r="X223" s="14">
        <v>0</v>
      </c>
      <c r="Y223" s="75">
        <v>0</v>
      </c>
      <c r="Z223" s="87">
        <f t="shared" si="63"/>
        <v>0</v>
      </c>
      <c r="AA223" s="14">
        <f t="shared" si="64"/>
        <v>0</v>
      </c>
      <c r="AB223" s="75">
        <v>0</v>
      </c>
      <c r="AC223" s="75">
        <v>0</v>
      </c>
      <c r="AD223" s="59">
        <f t="shared" si="65"/>
        <v>0</v>
      </c>
      <c r="AE223" s="73">
        <v>0</v>
      </c>
      <c r="AF223" s="73">
        <v>0</v>
      </c>
      <c r="AG223" s="15">
        <f t="shared" si="66"/>
        <v>0</v>
      </c>
      <c r="AH223" s="16">
        <f t="shared" si="67"/>
        <v>19</v>
      </c>
      <c r="AI223" s="17">
        <f t="shared" si="68"/>
        <v>0</v>
      </c>
      <c r="AJ223" s="12">
        <f>VLOOKUP(A223,'PreK Proxy - Sept. 2024'!$A$2:$I$674,9,FALSE)</f>
        <v>17</v>
      </c>
      <c r="AK223" s="18">
        <f t="shared" si="69"/>
        <v>1</v>
      </c>
    </row>
    <row r="224" spans="1:37" x14ac:dyDescent="0.35">
      <c r="A224" s="11" t="s">
        <v>458</v>
      </c>
      <c r="B224" s="12" t="s">
        <v>459</v>
      </c>
      <c r="C224" s="54" t="s">
        <v>1454</v>
      </c>
      <c r="D224" s="54" t="s">
        <v>190</v>
      </c>
      <c r="E224" s="66">
        <f t="shared" si="55"/>
        <v>54</v>
      </c>
      <c r="F224" s="13">
        <f t="shared" si="56"/>
        <v>0</v>
      </c>
      <c r="G224" s="67">
        <f t="shared" si="57"/>
        <v>54</v>
      </c>
      <c r="H224" s="64">
        <f t="shared" si="53"/>
        <v>36</v>
      </c>
      <c r="I224" s="80">
        <v>0</v>
      </c>
      <c r="J224" s="80">
        <v>36</v>
      </c>
      <c r="K224" s="59">
        <f t="shared" si="58"/>
        <v>36</v>
      </c>
      <c r="L224" s="59">
        <v>0</v>
      </c>
      <c r="M224" s="59">
        <v>0</v>
      </c>
      <c r="N224" s="59">
        <f t="shared" si="59"/>
        <v>0</v>
      </c>
      <c r="O224" s="15">
        <f t="shared" si="60"/>
        <v>0</v>
      </c>
      <c r="P224" s="87">
        <f t="shared" si="61"/>
        <v>18</v>
      </c>
      <c r="Q224" s="110">
        <v>18</v>
      </c>
      <c r="R224" s="59">
        <v>0</v>
      </c>
      <c r="S224" s="14">
        <v>0</v>
      </c>
      <c r="T224" s="59">
        <v>0</v>
      </c>
      <c r="U224" s="15">
        <f t="shared" si="54"/>
        <v>0</v>
      </c>
      <c r="V224" s="14">
        <v>0</v>
      </c>
      <c r="W224" s="15">
        <f t="shared" si="62"/>
        <v>0</v>
      </c>
      <c r="X224" s="14">
        <v>0</v>
      </c>
      <c r="Y224" s="75">
        <v>0</v>
      </c>
      <c r="Z224" s="87">
        <f t="shared" si="63"/>
        <v>0</v>
      </c>
      <c r="AA224" s="14">
        <f t="shared" si="64"/>
        <v>0</v>
      </c>
      <c r="AB224" s="75">
        <v>0</v>
      </c>
      <c r="AC224" s="75">
        <v>0</v>
      </c>
      <c r="AD224" s="59">
        <f t="shared" si="65"/>
        <v>0</v>
      </c>
      <c r="AE224" s="73">
        <v>0</v>
      </c>
      <c r="AF224" s="73">
        <v>0</v>
      </c>
      <c r="AG224" s="15">
        <f t="shared" si="66"/>
        <v>0</v>
      </c>
      <c r="AH224" s="16">
        <f t="shared" si="67"/>
        <v>54</v>
      </c>
      <c r="AI224" s="17">
        <f t="shared" si="68"/>
        <v>0</v>
      </c>
      <c r="AJ224" s="12">
        <f>VLOOKUP(A224,'PreK Proxy - Sept. 2024'!$A$2:$I$674,9,FALSE)</f>
        <v>78</v>
      </c>
      <c r="AK224" s="18">
        <f t="shared" si="69"/>
        <v>0.69230769230769229</v>
      </c>
    </row>
    <row r="225" spans="1:37" x14ac:dyDescent="0.35">
      <c r="A225" s="11" t="s">
        <v>460</v>
      </c>
      <c r="B225" s="12" t="s">
        <v>461</v>
      </c>
      <c r="C225" s="54" t="s">
        <v>1454</v>
      </c>
      <c r="D225" s="54" t="s">
        <v>190</v>
      </c>
      <c r="E225" s="66">
        <f t="shared" si="55"/>
        <v>46</v>
      </c>
      <c r="F225" s="13">
        <f t="shared" si="56"/>
        <v>0</v>
      </c>
      <c r="G225" s="67">
        <f t="shared" si="57"/>
        <v>46</v>
      </c>
      <c r="H225" s="64">
        <f t="shared" si="53"/>
        <v>46</v>
      </c>
      <c r="I225" s="80">
        <v>0</v>
      </c>
      <c r="J225" s="80">
        <v>46</v>
      </c>
      <c r="K225" s="59">
        <f t="shared" si="58"/>
        <v>46</v>
      </c>
      <c r="L225" s="59">
        <v>0</v>
      </c>
      <c r="M225" s="59">
        <v>0</v>
      </c>
      <c r="N225" s="59">
        <f t="shared" si="59"/>
        <v>0</v>
      </c>
      <c r="O225" s="15">
        <f t="shared" si="60"/>
        <v>0</v>
      </c>
      <c r="P225" s="87">
        <f t="shared" si="61"/>
        <v>0</v>
      </c>
      <c r="Q225" s="110">
        <v>0</v>
      </c>
      <c r="R225" s="59">
        <v>0</v>
      </c>
      <c r="S225" s="14">
        <v>0</v>
      </c>
      <c r="T225" s="59">
        <v>0</v>
      </c>
      <c r="U225" s="15">
        <f t="shared" si="54"/>
        <v>0</v>
      </c>
      <c r="V225" s="14">
        <v>0</v>
      </c>
      <c r="W225" s="15">
        <f t="shared" si="62"/>
        <v>0</v>
      </c>
      <c r="X225" s="14">
        <v>0</v>
      </c>
      <c r="Y225" s="75">
        <v>0</v>
      </c>
      <c r="Z225" s="87">
        <f t="shared" si="63"/>
        <v>0</v>
      </c>
      <c r="AA225" s="14">
        <f t="shared" si="64"/>
        <v>0</v>
      </c>
      <c r="AB225" s="75">
        <v>0</v>
      </c>
      <c r="AC225" s="75">
        <v>0</v>
      </c>
      <c r="AD225" s="59">
        <f t="shared" si="65"/>
        <v>0</v>
      </c>
      <c r="AE225" s="73">
        <v>0</v>
      </c>
      <c r="AF225" s="73">
        <v>0</v>
      </c>
      <c r="AG225" s="15">
        <f t="shared" si="66"/>
        <v>0</v>
      </c>
      <c r="AH225" s="16">
        <f t="shared" si="67"/>
        <v>46</v>
      </c>
      <c r="AI225" s="17">
        <f t="shared" si="68"/>
        <v>0</v>
      </c>
      <c r="AJ225" s="12">
        <f>VLOOKUP(A225,'PreK Proxy - Sept. 2024'!$A$2:$I$674,9,FALSE)</f>
        <v>68</v>
      </c>
      <c r="AK225" s="18">
        <f t="shared" si="69"/>
        <v>0.67647058823529416</v>
      </c>
    </row>
    <row r="226" spans="1:37" x14ac:dyDescent="0.35">
      <c r="A226" s="11" t="s">
        <v>462</v>
      </c>
      <c r="B226" s="12" t="s">
        <v>463</v>
      </c>
      <c r="C226" s="54" t="s">
        <v>1454</v>
      </c>
      <c r="D226" s="54" t="s">
        <v>190</v>
      </c>
      <c r="E226" s="66">
        <f t="shared" si="55"/>
        <v>13</v>
      </c>
      <c r="F226" s="13">
        <f t="shared" si="56"/>
        <v>13</v>
      </c>
      <c r="G226" s="67">
        <f t="shared" si="57"/>
        <v>0</v>
      </c>
      <c r="H226" s="64">
        <f t="shared" si="53"/>
        <v>0</v>
      </c>
      <c r="I226" s="80">
        <v>0</v>
      </c>
      <c r="J226" s="80">
        <v>0</v>
      </c>
      <c r="K226" s="59">
        <f t="shared" si="58"/>
        <v>0</v>
      </c>
      <c r="L226" s="59">
        <v>0</v>
      </c>
      <c r="M226" s="59">
        <v>0</v>
      </c>
      <c r="N226" s="59">
        <f t="shared" si="59"/>
        <v>0</v>
      </c>
      <c r="O226" s="15">
        <f t="shared" si="60"/>
        <v>0</v>
      </c>
      <c r="P226" s="87">
        <f t="shared" si="61"/>
        <v>13</v>
      </c>
      <c r="Q226" s="110">
        <v>0</v>
      </c>
      <c r="R226" s="59">
        <v>13</v>
      </c>
      <c r="S226" s="14">
        <v>0</v>
      </c>
      <c r="T226" s="59">
        <v>0</v>
      </c>
      <c r="U226" s="15">
        <f t="shared" si="54"/>
        <v>0</v>
      </c>
      <c r="V226" s="14">
        <v>0</v>
      </c>
      <c r="W226" s="15">
        <f t="shared" si="62"/>
        <v>0</v>
      </c>
      <c r="X226" s="14">
        <v>0</v>
      </c>
      <c r="Y226" s="75">
        <v>0</v>
      </c>
      <c r="Z226" s="87">
        <f t="shared" si="63"/>
        <v>0</v>
      </c>
      <c r="AA226" s="14">
        <f t="shared" si="64"/>
        <v>0</v>
      </c>
      <c r="AB226" s="75">
        <v>0</v>
      </c>
      <c r="AC226" s="75">
        <v>0</v>
      </c>
      <c r="AD226" s="59">
        <f t="shared" si="65"/>
        <v>0</v>
      </c>
      <c r="AE226" s="73">
        <v>0</v>
      </c>
      <c r="AF226" s="73">
        <v>0</v>
      </c>
      <c r="AG226" s="15">
        <f t="shared" si="66"/>
        <v>0</v>
      </c>
      <c r="AH226" s="16">
        <f t="shared" si="67"/>
        <v>0</v>
      </c>
      <c r="AI226" s="17">
        <f t="shared" si="68"/>
        <v>13</v>
      </c>
      <c r="AJ226" s="12">
        <f>VLOOKUP(A226,'PreK Proxy - Sept. 2024'!$A$2:$I$674,9,FALSE)</f>
        <v>64</v>
      </c>
      <c r="AK226" s="18">
        <f t="shared" si="69"/>
        <v>0.203125</v>
      </c>
    </row>
    <row r="227" spans="1:37" x14ac:dyDescent="0.35">
      <c r="A227" s="11" t="s">
        <v>464</v>
      </c>
      <c r="B227" s="12" t="s">
        <v>465</v>
      </c>
      <c r="C227" s="54" t="s">
        <v>1420</v>
      </c>
      <c r="D227" s="54" t="s">
        <v>379</v>
      </c>
      <c r="E227" s="66">
        <f t="shared" si="55"/>
        <v>38</v>
      </c>
      <c r="F227" s="13">
        <f t="shared" si="56"/>
        <v>38</v>
      </c>
      <c r="G227" s="67">
        <f t="shared" si="57"/>
        <v>0</v>
      </c>
      <c r="H227" s="64">
        <f t="shared" si="53"/>
        <v>0</v>
      </c>
      <c r="I227" s="80">
        <v>0</v>
      </c>
      <c r="J227" s="80">
        <v>0</v>
      </c>
      <c r="K227" s="59">
        <f t="shared" si="58"/>
        <v>0</v>
      </c>
      <c r="L227" s="59">
        <v>0</v>
      </c>
      <c r="M227" s="59">
        <v>0</v>
      </c>
      <c r="N227" s="59">
        <f t="shared" si="59"/>
        <v>0</v>
      </c>
      <c r="O227" s="15">
        <f t="shared" si="60"/>
        <v>0</v>
      </c>
      <c r="P227" s="87">
        <f t="shared" si="61"/>
        <v>20</v>
      </c>
      <c r="Q227" s="110">
        <v>0</v>
      </c>
      <c r="R227" s="59">
        <v>20</v>
      </c>
      <c r="S227" s="14">
        <v>0</v>
      </c>
      <c r="T227" s="59">
        <v>0</v>
      </c>
      <c r="U227" s="15">
        <f t="shared" si="54"/>
        <v>0</v>
      </c>
      <c r="V227" s="14">
        <v>0</v>
      </c>
      <c r="W227" s="15">
        <f t="shared" si="62"/>
        <v>0</v>
      </c>
      <c r="X227" s="14">
        <v>18</v>
      </c>
      <c r="Y227" s="75">
        <v>0</v>
      </c>
      <c r="Z227" s="87">
        <f t="shared" si="63"/>
        <v>18</v>
      </c>
      <c r="AA227" s="14">
        <f t="shared" si="64"/>
        <v>0</v>
      </c>
      <c r="AB227" s="75">
        <v>0</v>
      </c>
      <c r="AC227" s="75">
        <v>0</v>
      </c>
      <c r="AD227" s="59">
        <f t="shared" si="65"/>
        <v>0</v>
      </c>
      <c r="AE227" s="73">
        <v>0</v>
      </c>
      <c r="AF227" s="73">
        <v>0</v>
      </c>
      <c r="AG227" s="15">
        <f t="shared" si="66"/>
        <v>0</v>
      </c>
      <c r="AH227" s="16">
        <f t="shared" si="67"/>
        <v>0</v>
      </c>
      <c r="AI227" s="17">
        <f t="shared" si="68"/>
        <v>38</v>
      </c>
      <c r="AJ227" s="12">
        <f>VLOOKUP(A227,'PreK Proxy - Sept. 2024'!$A$2:$I$674,9,FALSE)</f>
        <v>51</v>
      </c>
      <c r="AK227" s="18">
        <f t="shared" si="69"/>
        <v>0.74509803921568629</v>
      </c>
    </row>
    <row r="228" spans="1:37" x14ac:dyDescent="0.35">
      <c r="A228" s="11" t="s">
        <v>466</v>
      </c>
      <c r="B228" s="12" t="s">
        <v>467</v>
      </c>
      <c r="C228" s="54" t="s">
        <v>1420</v>
      </c>
      <c r="D228" s="54" t="s">
        <v>379</v>
      </c>
      <c r="E228" s="66">
        <f t="shared" si="55"/>
        <v>41</v>
      </c>
      <c r="F228" s="13">
        <f t="shared" si="56"/>
        <v>0</v>
      </c>
      <c r="G228" s="67">
        <f t="shared" si="57"/>
        <v>41</v>
      </c>
      <c r="H228" s="64">
        <f t="shared" si="53"/>
        <v>41</v>
      </c>
      <c r="I228" s="80">
        <v>0</v>
      </c>
      <c r="J228" s="80">
        <v>41</v>
      </c>
      <c r="K228" s="59">
        <f t="shared" si="58"/>
        <v>41</v>
      </c>
      <c r="L228" s="59">
        <v>0</v>
      </c>
      <c r="M228" s="59">
        <v>0</v>
      </c>
      <c r="N228" s="59">
        <f t="shared" si="59"/>
        <v>0</v>
      </c>
      <c r="O228" s="15">
        <f t="shared" si="60"/>
        <v>0</v>
      </c>
      <c r="P228" s="87">
        <f t="shared" si="61"/>
        <v>0</v>
      </c>
      <c r="Q228" s="110">
        <v>0</v>
      </c>
      <c r="R228" s="59">
        <v>0</v>
      </c>
      <c r="S228" s="14">
        <v>0</v>
      </c>
      <c r="T228" s="59">
        <v>0</v>
      </c>
      <c r="U228" s="15">
        <f t="shared" si="54"/>
        <v>0</v>
      </c>
      <c r="V228" s="14">
        <v>0</v>
      </c>
      <c r="W228" s="15">
        <f t="shared" si="62"/>
        <v>0</v>
      </c>
      <c r="X228" s="14">
        <v>0</v>
      </c>
      <c r="Y228" s="75">
        <v>0</v>
      </c>
      <c r="Z228" s="87">
        <f t="shared" si="63"/>
        <v>0</v>
      </c>
      <c r="AA228" s="14">
        <f t="shared" si="64"/>
        <v>0</v>
      </c>
      <c r="AB228" s="75">
        <v>0</v>
      </c>
      <c r="AC228" s="75">
        <v>0</v>
      </c>
      <c r="AD228" s="59">
        <f t="shared" si="65"/>
        <v>0</v>
      </c>
      <c r="AE228" s="73">
        <v>0</v>
      </c>
      <c r="AF228" s="73">
        <v>0</v>
      </c>
      <c r="AG228" s="15">
        <f t="shared" si="66"/>
        <v>0</v>
      </c>
      <c r="AH228" s="16">
        <f t="shared" si="67"/>
        <v>41</v>
      </c>
      <c r="AI228" s="17">
        <f t="shared" si="68"/>
        <v>0</v>
      </c>
      <c r="AJ228" s="12">
        <f>VLOOKUP(A228,'PreK Proxy - Sept. 2024'!$A$2:$I$674,9,FALSE)</f>
        <v>42</v>
      </c>
      <c r="AK228" s="18">
        <f t="shared" si="69"/>
        <v>0.97619047619047616</v>
      </c>
    </row>
    <row r="229" spans="1:37" x14ac:dyDescent="0.35">
      <c r="A229" s="11" t="s">
        <v>468</v>
      </c>
      <c r="B229" s="12" t="s">
        <v>469</v>
      </c>
      <c r="C229" s="54" t="s">
        <v>1420</v>
      </c>
      <c r="D229" s="54" t="s">
        <v>379</v>
      </c>
      <c r="E229" s="66">
        <f t="shared" si="55"/>
        <v>29</v>
      </c>
      <c r="F229" s="13">
        <f t="shared" si="56"/>
        <v>29</v>
      </c>
      <c r="G229" s="67">
        <f t="shared" si="57"/>
        <v>0</v>
      </c>
      <c r="H229" s="64">
        <f t="shared" si="53"/>
        <v>29</v>
      </c>
      <c r="I229" s="80">
        <v>0</v>
      </c>
      <c r="J229" s="80">
        <v>0</v>
      </c>
      <c r="K229" s="59">
        <f t="shared" si="58"/>
        <v>0</v>
      </c>
      <c r="L229" s="59">
        <v>0</v>
      </c>
      <c r="M229" s="59">
        <v>29</v>
      </c>
      <c r="N229" s="59">
        <f t="shared" si="59"/>
        <v>29</v>
      </c>
      <c r="O229" s="15">
        <f t="shared" si="60"/>
        <v>0</v>
      </c>
      <c r="P229" s="87">
        <f t="shared" si="61"/>
        <v>0</v>
      </c>
      <c r="Q229" s="110">
        <v>0</v>
      </c>
      <c r="R229" s="59">
        <v>0</v>
      </c>
      <c r="S229" s="14">
        <v>0</v>
      </c>
      <c r="T229" s="59">
        <v>0</v>
      </c>
      <c r="U229" s="15">
        <f t="shared" si="54"/>
        <v>0</v>
      </c>
      <c r="V229" s="14">
        <v>0</v>
      </c>
      <c r="W229" s="15">
        <f t="shared" si="62"/>
        <v>0</v>
      </c>
      <c r="X229" s="14">
        <v>0</v>
      </c>
      <c r="Y229" s="75">
        <v>0</v>
      </c>
      <c r="Z229" s="87">
        <f t="shared" si="63"/>
        <v>0</v>
      </c>
      <c r="AA229" s="14">
        <f t="shared" si="64"/>
        <v>0</v>
      </c>
      <c r="AB229" s="75">
        <v>0</v>
      </c>
      <c r="AC229" s="75">
        <v>0</v>
      </c>
      <c r="AD229" s="59">
        <f t="shared" si="65"/>
        <v>0</v>
      </c>
      <c r="AE229" s="73">
        <v>0</v>
      </c>
      <c r="AF229" s="73">
        <v>0</v>
      </c>
      <c r="AG229" s="15">
        <f t="shared" si="66"/>
        <v>0</v>
      </c>
      <c r="AH229" s="16">
        <f t="shared" si="67"/>
        <v>0</v>
      </c>
      <c r="AI229" s="17">
        <f t="shared" si="68"/>
        <v>29</v>
      </c>
      <c r="AJ229" s="12">
        <f>VLOOKUP(A229,'PreK Proxy - Sept. 2024'!$A$2:$I$674,9,FALSE)</f>
        <v>49</v>
      </c>
      <c r="AK229" s="18">
        <f t="shared" si="69"/>
        <v>0.59183673469387754</v>
      </c>
    </row>
    <row r="230" spans="1:37" x14ac:dyDescent="0.35">
      <c r="A230" s="11" t="s">
        <v>470</v>
      </c>
      <c r="B230" s="12" t="s">
        <v>471</v>
      </c>
      <c r="C230" s="54" t="s">
        <v>1420</v>
      </c>
      <c r="D230" s="54" t="s">
        <v>379</v>
      </c>
      <c r="E230" s="66">
        <f t="shared" si="55"/>
        <v>56</v>
      </c>
      <c r="F230" s="13">
        <f t="shared" si="56"/>
        <v>34</v>
      </c>
      <c r="G230" s="67">
        <f t="shared" si="57"/>
        <v>22</v>
      </c>
      <c r="H230" s="64">
        <f t="shared" si="53"/>
        <v>56</v>
      </c>
      <c r="I230" s="80">
        <v>0</v>
      </c>
      <c r="J230" s="80">
        <v>22</v>
      </c>
      <c r="K230" s="59">
        <f t="shared" si="58"/>
        <v>22</v>
      </c>
      <c r="L230" s="59">
        <v>0</v>
      </c>
      <c r="M230" s="59">
        <v>34</v>
      </c>
      <c r="N230" s="59">
        <f t="shared" si="59"/>
        <v>34</v>
      </c>
      <c r="O230" s="15">
        <f t="shared" si="60"/>
        <v>0</v>
      </c>
      <c r="P230" s="87">
        <f t="shared" si="61"/>
        <v>0</v>
      </c>
      <c r="Q230" s="110">
        <v>0</v>
      </c>
      <c r="R230" s="59">
        <v>0</v>
      </c>
      <c r="S230" s="14">
        <v>0</v>
      </c>
      <c r="T230" s="59">
        <v>0</v>
      </c>
      <c r="U230" s="15">
        <f t="shared" si="54"/>
        <v>0</v>
      </c>
      <c r="V230" s="14">
        <v>0</v>
      </c>
      <c r="W230" s="15">
        <f t="shared" si="62"/>
        <v>0</v>
      </c>
      <c r="X230" s="14">
        <v>0</v>
      </c>
      <c r="Y230" s="75">
        <v>0</v>
      </c>
      <c r="Z230" s="87">
        <f t="shared" si="63"/>
        <v>0</v>
      </c>
      <c r="AA230" s="14">
        <f t="shared" si="64"/>
        <v>0</v>
      </c>
      <c r="AB230" s="75">
        <v>0</v>
      </c>
      <c r="AC230" s="75">
        <v>0</v>
      </c>
      <c r="AD230" s="59">
        <f t="shared" si="65"/>
        <v>0</v>
      </c>
      <c r="AE230" s="73">
        <v>0</v>
      </c>
      <c r="AF230" s="73">
        <v>0</v>
      </c>
      <c r="AG230" s="15">
        <f t="shared" si="66"/>
        <v>0</v>
      </c>
      <c r="AH230" s="16">
        <f t="shared" si="67"/>
        <v>22</v>
      </c>
      <c r="AI230" s="17">
        <f t="shared" si="68"/>
        <v>34</v>
      </c>
      <c r="AJ230" s="12">
        <f>VLOOKUP(A230,'PreK Proxy - Sept. 2024'!$A$2:$I$674,9,FALSE)</f>
        <v>73</v>
      </c>
      <c r="AK230" s="18">
        <f t="shared" si="69"/>
        <v>0.76712328767123283</v>
      </c>
    </row>
    <row r="231" spans="1:37" x14ac:dyDescent="0.35">
      <c r="A231" s="11" t="s">
        <v>472</v>
      </c>
      <c r="B231" s="12" t="s">
        <v>1374</v>
      </c>
      <c r="C231" s="54" t="s">
        <v>1420</v>
      </c>
      <c r="D231" s="54" t="s">
        <v>379</v>
      </c>
      <c r="E231" s="66">
        <f t="shared" si="55"/>
        <v>20</v>
      </c>
      <c r="F231" s="13">
        <f t="shared" si="56"/>
        <v>20</v>
      </c>
      <c r="G231" s="67">
        <f t="shared" si="57"/>
        <v>0</v>
      </c>
      <c r="H231" s="64">
        <f t="shared" si="53"/>
        <v>20</v>
      </c>
      <c r="I231" s="80">
        <v>0</v>
      </c>
      <c r="J231" s="80">
        <v>0</v>
      </c>
      <c r="K231" s="59">
        <f t="shared" si="58"/>
        <v>0</v>
      </c>
      <c r="L231" s="59">
        <v>0</v>
      </c>
      <c r="M231" s="59">
        <v>20</v>
      </c>
      <c r="N231" s="59">
        <f t="shared" si="59"/>
        <v>20</v>
      </c>
      <c r="O231" s="15">
        <f t="shared" si="60"/>
        <v>0</v>
      </c>
      <c r="P231" s="87">
        <f t="shared" si="61"/>
        <v>0</v>
      </c>
      <c r="Q231" s="110">
        <v>0</v>
      </c>
      <c r="R231" s="59">
        <v>0</v>
      </c>
      <c r="S231" s="14">
        <v>0</v>
      </c>
      <c r="T231" s="59">
        <v>0</v>
      </c>
      <c r="U231" s="15">
        <f t="shared" si="54"/>
        <v>0</v>
      </c>
      <c r="V231" s="14">
        <v>0</v>
      </c>
      <c r="W231" s="15">
        <f t="shared" si="62"/>
        <v>0</v>
      </c>
      <c r="X231" s="14">
        <v>0</v>
      </c>
      <c r="Y231" s="75">
        <v>0</v>
      </c>
      <c r="Z231" s="87">
        <f t="shared" si="63"/>
        <v>0</v>
      </c>
      <c r="AA231" s="14">
        <f t="shared" si="64"/>
        <v>0</v>
      </c>
      <c r="AB231" s="75">
        <v>0</v>
      </c>
      <c r="AC231" s="75">
        <v>0</v>
      </c>
      <c r="AD231" s="59">
        <f t="shared" si="65"/>
        <v>0</v>
      </c>
      <c r="AE231" s="73">
        <v>0</v>
      </c>
      <c r="AF231" s="73">
        <v>0</v>
      </c>
      <c r="AG231" s="15">
        <f t="shared" si="66"/>
        <v>0</v>
      </c>
      <c r="AH231" s="16">
        <f t="shared" si="67"/>
        <v>0</v>
      </c>
      <c r="AI231" s="17">
        <f t="shared" si="68"/>
        <v>20</v>
      </c>
      <c r="AJ231" s="12">
        <f>VLOOKUP(A231,'PreK Proxy - Sept. 2024'!$A$2:$I$674,9,FALSE)</f>
        <v>26</v>
      </c>
      <c r="AK231" s="18">
        <f t="shared" si="69"/>
        <v>0.76923076923076927</v>
      </c>
    </row>
    <row r="232" spans="1:37" x14ac:dyDescent="0.35">
      <c r="A232" s="11" t="s">
        <v>473</v>
      </c>
      <c r="B232" s="12" t="s">
        <v>474</v>
      </c>
      <c r="C232" s="54" t="s">
        <v>1420</v>
      </c>
      <c r="D232" s="54" t="s">
        <v>379</v>
      </c>
      <c r="E232" s="66">
        <f t="shared" si="55"/>
        <v>137</v>
      </c>
      <c r="F232" s="13">
        <f t="shared" si="56"/>
        <v>81</v>
      </c>
      <c r="G232" s="67">
        <f t="shared" si="57"/>
        <v>56</v>
      </c>
      <c r="H232" s="64">
        <f t="shared" si="53"/>
        <v>137</v>
      </c>
      <c r="I232" s="80">
        <v>56</v>
      </c>
      <c r="J232" s="80">
        <v>0</v>
      </c>
      <c r="K232" s="59">
        <f t="shared" si="58"/>
        <v>56</v>
      </c>
      <c r="L232" s="59">
        <v>5</v>
      </c>
      <c r="M232" s="59">
        <v>76</v>
      </c>
      <c r="N232" s="59">
        <f t="shared" si="59"/>
        <v>81</v>
      </c>
      <c r="O232" s="15">
        <f t="shared" si="60"/>
        <v>0</v>
      </c>
      <c r="P232" s="87">
        <f t="shared" si="61"/>
        <v>0</v>
      </c>
      <c r="Q232" s="110">
        <v>0</v>
      </c>
      <c r="R232" s="59">
        <v>0</v>
      </c>
      <c r="S232" s="14">
        <v>0</v>
      </c>
      <c r="T232" s="59">
        <v>0</v>
      </c>
      <c r="U232" s="15">
        <f t="shared" si="54"/>
        <v>0</v>
      </c>
      <c r="V232" s="14">
        <v>0</v>
      </c>
      <c r="W232" s="15">
        <f t="shared" si="62"/>
        <v>0</v>
      </c>
      <c r="X232" s="14">
        <v>0</v>
      </c>
      <c r="Y232" s="75">
        <v>0</v>
      </c>
      <c r="Z232" s="87">
        <f t="shared" si="63"/>
        <v>0</v>
      </c>
      <c r="AA232" s="14">
        <f t="shared" si="64"/>
        <v>0</v>
      </c>
      <c r="AB232" s="75">
        <v>0</v>
      </c>
      <c r="AC232" s="75">
        <v>0</v>
      </c>
      <c r="AD232" s="59">
        <f t="shared" si="65"/>
        <v>0</v>
      </c>
      <c r="AE232" s="73">
        <v>0</v>
      </c>
      <c r="AF232" s="73">
        <v>0</v>
      </c>
      <c r="AG232" s="15">
        <f t="shared" si="66"/>
        <v>0</v>
      </c>
      <c r="AH232" s="16">
        <f t="shared" si="67"/>
        <v>0</v>
      </c>
      <c r="AI232" s="17">
        <f t="shared" si="68"/>
        <v>76</v>
      </c>
      <c r="AJ232" s="12">
        <f>VLOOKUP(A232,'PreK Proxy - Sept. 2024'!$A$2:$I$674,9,FALSE)</f>
        <v>68</v>
      </c>
      <c r="AK232" s="18">
        <f t="shared" si="69"/>
        <v>1</v>
      </c>
    </row>
    <row r="233" spans="1:37" x14ac:dyDescent="0.35">
      <c r="A233" s="11" t="s">
        <v>475</v>
      </c>
      <c r="B233" s="12" t="s">
        <v>476</v>
      </c>
      <c r="C233" s="54" t="s">
        <v>1420</v>
      </c>
      <c r="D233" s="54" t="s">
        <v>379</v>
      </c>
      <c r="E233" s="66">
        <f t="shared" si="55"/>
        <v>28</v>
      </c>
      <c r="F233" s="13">
        <f t="shared" si="56"/>
        <v>28</v>
      </c>
      <c r="G233" s="67">
        <f t="shared" si="57"/>
        <v>0</v>
      </c>
      <c r="H233" s="64">
        <f t="shared" si="53"/>
        <v>28</v>
      </c>
      <c r="I233" s="80">
        <v>0</v>
      </c>
      <c r="J233" s="80">
        <v>0</v>
      </c>
      <c r="K233" s="59">
        <f t="shared" si="58"/>
        <v>0</v>
      </c>
      <c r="L233" s="59">
        <v>0</v>
      </c>
      <c r="M233" s="59">
        <v>28</v>
      </c>
      <c r="N233" s="59">
        <f t="shared" si="59"/>
        <v>28</v>
      </c>
      <c r="O233" s="15">
        <f t="shared" si="60"/>
        <v>0</v>
      </c>
      <c r="P233" s="87">
        <f t="shared" si="61"/>
        <v>0</v>
      </c>
      <c r="Q233" s="110">
        <v>0</v>
      </c>
      <c r="R233" s="59">
        <v>0</v>
      </c>
      <c r="S233" s="14">
        <v>0</v>
      </c>
      <c r="T233" s="59">
        <v>0</v>
      </c>
      <c r="U233" s="15">
        <f t="shared" si="54"/>
        <v>0</v>
      </c>
      <c r="V233" s="14">
        <v>0</v>
      </c>
      <c r="W233" s="15">
        <f t="shared" si="62"/>
        <v>0</v>
      </c>
      <c r="X233" s="14">
        <v>0</v>
      </c>
      <c r="Y233" s="75">
        <v>0</v>
      </c>
      <c r="Z233" s="87">
        <f t="shared" si="63"/>
        <v>0</v>
      </c>
      <c r="AA233" s="14">
        <f t="shared" si="64"/>
        <v>0</v>
      </c>
      <c r="AB233" s="75">
        <v>0</v>
      </c>
      <c r="AC233" s="75">
        <v>0</v>
      </c>
      <c r="AD233" s="59">
        <f t="shared" si="65"/>
        <v>0</v>
      </c>
      <c r="AE233" s="73">
        <v>0</v>
      </c>
      <c r="AF233" s="73">
        <v>0</v>
      </c>
      <c r="AG233" s="15">
        <f t="shared" si="66"/>
        <v>0</v>
      </c>
      <c r="AH233" s="16">
        <f t="shared" si="67"/>
        <v>0</v>
      </c>
      <c r="AI233" s="17">
        <f t="shared" si="68"/>
        <v>28</v>
      </c>
      <c r="AJ233" s="12">
        <f>VLOOKUP(A233,'PreK Proxy - Sept. 2024'!$A$2:$I$674,9,FALSE)</f>
        <v>15</v>
      </c>
      <c r="AK233" s="18">
        <f t="shared" si="69"/>
        <v>1</v>
      </c>
    </row>
    <row r="234" spans="1:37" x14ac:dyDescent="0.35">
      <c r="A234" s="11" t="s">
        <v>477</v>
      </c>
      <c r="B234" s="12" t="s">
        <v>478</v>
      </c>
      <c r="C234" s="54" t="s">
        <v>1420</v>
      </c>
      <c r="D234" s="54" t="s">
        <v>379</v>
      </c>
      <c r="E234" s="66">
        <f t="shared" si="55"/>
        <v>31</v>
      </c>
      <c r="F234" s="13">
        <f t="shared" si="56"/>
        <v>31</v>
      </c>
      <c r="G234" s="67">
        <f t="shared" si="57"/>
        <v>0</v>
      </c>
      <c r="H234" s="64">
        <f t="shared" si="53"/>
        <v>31</v>
      </c>
      <c r="I234" s="80">
        <v>0</v>
      </c>
      <c r="J234" s="80">
        <v>0</v>
      </c>
      <c r="K234" s="59">
        <f t="shared" si="58"/>
        <v>0</v>
      </c>
      <c r="L234" s="59">
        <v>0</v>
      </c>
      <c r="M234" s="59">
        <v>31</v>
      </c>
      <c r="N234" s="59">
        <f t="shared" si="59"/>
        <v>31</v>
      </c>
      <c r="O234" s="15">
        <f t="shared" si="60"/>
        <v>0</v>
      </c>
      <c r="P234" s="87">
        <f t="shared" si="61"/>
        <v>0</v>
      </c>
      <c r="Q234" s="110">
        <v>0</v>
      </c>
      <c r="R234" s="59">
        <v>0</v>
      </c>
      <c r="S234" s="14">
        <v>0</v>
      </c>
      <c r="T234" s="59">
        <v>0</v>
      </c>
      <c r="U234" s="15">
        <f t="shared" si="54"/>
        <v>0</v>
      </c>
      <c r="V234" s="14">
        <v>0</v>
      </c>
      <c r="W234" s="15">
        <f t="shared" si="62"/>
        <v>0</v>
      </c>
      <c r="X234" s="14">
        <v>0</v>
      </c>
      <c r="Y234" s="75">
        <v>0</v>
      </c>
      <c r="Z234" s="87">
        <f t="shared" si="63"/>
        <v>0</v>
      </c>
      <c r="AA234" s="14">
        <f t="shared" si="64"/>
        <v>0</v>
      </c>
      <c r="AB234" s="75">
        <v>0</v>
      </c>
      <c r="AC234" s="75">
        <v>0</v>
      </c>
      <c r="AD234" s="59">
        <f t="shared" si="65"/>
        <v>0</v>
      </c>
      <c r="AE234" s="73">
        <v>0</v>
      </c>
      <c r="AF234" s="73">
        <v>0</v>
      </c>
      <c r="AG234" s="15">
        <f t="shared" si="66"/>
        <v>0</v>
      </c>
      <c r="AH234" s="16">
        <f t="shared" si="67"/>
        <v>0</v>
      </c>
      <c r="AI234" s="17">
        <f t="shared" si="68"/>
        <v>31</v>
      </c>
      <c r="AJ234" s="12">
        <f>VLOOKUP(A234,'PreK Proxy - Sept. 2024'!$A$2:$I$674,9,FALSE)</f>
        <v>28</v>
      </c>
      <c r="AK234" s="18">
        <f t="shared" si="69"/>
        <v>1</v>
      </c>
    </row>
    <row r="235" spans="1:37" x14ac:dyDescent="0.35">
      <c r="A235" s="11" t="s">
        <v>479</v>
      </c>
      <c r="B235" s="12" t="s">
        <v>480</v>
      </c>
      <c r="C235" s="54" t="s">
        <v>1376</v>
      </c>
      <c r="D235" s="54" t="s">
        <v>117</v>
      </c>
      <c r="E235" s="66">
        <f t="shared" si="55"/>
        <v>4</v>
      </c>
      <c r="F235" s="13">
        <f t="shared" si="56"/>
        <v>0</v>
      </c>
      <c r="G235" s="67">
        <f t="shared" si="57"/>
        <v>4</v>
      </c>
      <c r="H235" s="64">
        <f t="shared" si="53"/>
        <v>4</v>
      </c>
      <c r="I235" s="80">
        <v>0</v>
      </c>
      <c r="J235" s="80">
        <v>4</v>
      </c>
      <c r="K235" s="59">
        <f t="shared" si="58"/>
        <v>4</v>
      </c>
      <c r="L235" s="59">
        <v>0</v>
      </c>
      <c r="M235" s="59">
        <v>0</v>
      </c>
      <c r="N235" s="59">
        <f t="shared" si="59"/>
        <v>0</v>
      </c>
      <c r="O235" s="15">
        <f t="shared" si="60"/>
        <v>0</v>
      </c>
      <c r="P235" s="87">
        <f t="shared" si="61"/>
        <v>0</v>
      </c>
      <c r="Q235" s="110">
        <v>0</v>
      </c>
      <c r="R235" s="59">
        <v>0</v>
      </c>
      <c r="S235" s="14">
        <v>0</v>
      </c>
      <c r="T235" s="59">
        <v>0</v>
      </c>
      <c r="U235" s="15">
        <f t="shared" si="54"/>
        <v>0</v>
      </c>
      <c r="V235" s="14">
        <v>0</v>
      </c>
      <c r="W235" s="15">
        <f t="shared" si="62"/>
        <v>0</v>
      </c>
      <c r="X235" s="14">
        <v>0</v>
      </c>
      <c r="Y235" s="75">
        <v>0</v>
      </c>
      <c r="Z235" s="87">
        <f t="shared" si="63"/>
        <v>0</v>
      </c>
      <c r="AA235" s="14">
        <f t="shared" si="64"/>
        <v>0</v>
      </c>
      <c r="AB235" s="75">
        <v>0</v>
      </c>
      <c r="AC235" s="75">
        <v>0</v>
      </c>
      <c r="AD235" s="59">
        <f t="shared" si="65"/>
        <v>0</v>
      </c>
      <c r="AE235" s="73">
        <v>0</v>
      </c>
      <c r="AF235" s="73">
        <v>0</v>
      </c>
      <c r="AG235" s="15">
        <f t="shared" si="66"/>
        <v>0</v>
      </c>
      <c r="AH235" s="16">
        <f t="shared" si="67"/>
        <v>4</v>
      </c>
      <c r="AI235" s="17">
        <f t="shared" si="68"/>
        <v>0</v>
      </c>
      <c r="AJ235" s="12">
        <f>VLOOKUP(A235,'PreK Proxy - Sept. 2024'!$A$2:$I$674,9,FALSE)</f>
        <v>15</v>
      </c>
      <c r="AK235" s="18">
        <f t="shared" si="69"/>
        <v>0.26666666666666666</v>
      </c>
    </row>
    <row r="236" spans="1:37" x14ac:dyDescent="0.35">
      <c r="A236" s="11" t="s">
        <v>481</v>
      </c>
      <c r="B236" s="12" t="s">
        <v>482</v>
      </c>
      <c r="C236" s="54" t="s">
        <v>1376</v>
      </c>
      <c r="D236" s="54" t="s">
        <v>117</v>
      </c>
      <c r="E236" s="66">
        <f t="shared" si="55"/>
        <v>33</v>
      </c>
      <c r="F236" s="13">
        <f t="shared" si="56"/>
        <v>33</v>
      </c>
      <c r="G236" s="67">
        <f t="shared" si="57"/>
        <v>0</v>
      </c>
      <c r="H236" s="64">
        <f t="shared" si="53"/>
        <v>0</v>
      </c>
      <c r="I236" s="80">
        <v>0</v>
      </c>
      <c r="J236" s="80">
        <v>0</v>
      </c>
      <c r="K236" s="59">
        <f t="shared" si="58"/>
        <v>0</v>
      </c>
      <c r="L236" s="59">
        <v>0</v>
      </c>
      <c r="M236" s="59">
        <v>0</v>
      </c>
      <c r="N236" s="59">
        <f t="shared" si="59"/>
        <v>0</v>
      </c>
      <c r="O236" s="15">
        <f t="shared" si="60"/>
        <v>0</v>
      </c>
      <c r="P236" s="87">
        <f t="shared" si="61"/>
        <v>30</v>
      </c>
      <c r="Q236" s="110">
        <v>0</v>
      </c>
      <c r="R236" s="59">
        <v>30</v>
      </c>
      <c r="S236" s="14">
        <v>0</v>
      </c>
      <c r="T236" s="59">
        <v>0</v>
      </c>
      <c r="U236" s="15">
        <f t="shared" si="54"/>
        <v>0</v>
      </c>
      <c r="V236" s="14">
        <v>0</v>
      </c>
      <c r="W236" s="15">
        <f t="shared" si="62"/>
        <v>0</v>
      </c>
      <c r="X236" s="14">
        <v>3</v>
      </c>
      <c r="Y236" s="75">
        <v>0</v>
      </c>
      <c r="Z236" s="87">
        <f t="shared" si="63"/>
        <v>3</v>
      </c>
      <c r="AA236" s="14">
        <f t="shared" si="64"/>
        <v>0</v>
      </c>
      <c r="AB236" s="75">
        <v>0</v>
      </c>
      <c r="AC236" s="75">
        <v>0</v>
      </c>
      <c r="AD236" s="59">
        <f t="shared" si="65"/>
        <v>0</v>
      </c>
      <c r="AE236" s="73">
        <v>0</v>
      </c>
      <c r="AF236" s="73">
        <v>0</v>
      </c>
      <c r="AG236" s="15">
        <f t="shared" si="66"/>
        <v>0</v>
      </c>
      <c r="AH236" s="16">
        <f t="shared" si="67"/>
        <v>0</v>
      </c>
      <c r="AI236" s="17">
        <f t="shared" si="68"/>
        <v>33</v>
      </c>
      <c r="AJ236" s="12">
        <f>VLOOKUP(A236,'PreK Proxy - Sept. 2024'!$A$2:$I$674,9,FALSE)</f>
        <v>77</v>
      </c>
      <c r="AK236" s="18">
        <f t="shared" si="69"/>
        <v>0.42857142857142855</v>
      </c>
    </row>
    <row r="237" spans="1:37" x14ac:dyDescent="0.35">
      <c r="A237" s="11" t="s">
        <v>483</v>
      </c>
      <c r="B237" s="12" t="s">
        <v>484</v>
      </c>
      <c r="C237" s="54" t="s">
        <v>1376</v>
      </c>
      <c r="D237" s="54" t="s">
        <v>117</v>
      </c>
      <c r="E237" s="66">
        <f t="shared" si="55"/>
        <v>11</v>
      </c>
      <c r="F237" s="13">
        <f t="shared" si="56"/>
        <v>11</v>
      </c>
      <c r="G237" s="67">
        <f t="shared" si="57"/>
        <v>0</v>
      </c>
      <c r="H237" s="64">
        <f t="shared" si="53"/>
        <v>11</v>
      </c>
      <c r="I237" s="80">
        <v>0</v>
      </c>
      <c r="J237" s="80">
        <v>0</v>
      </c>
      <c r="K237" s="59">
        <f t="shared" si="58"/>
        <v>0</v>
      </c>
      <c r="L237" s="59">
        <v>0</v>
      </c>
      <c r="M237" s="59">
        <v>11</v>
      </c>
      <c r="N237" s="59">
        <f t="shared" si="59"/>
        <v>11</v>
      </c>
      <c r="O237" s="15">
        <f t="shared" si="60"/>
        <v>0</v>
      </c>
      <c r="P237" s="87">
        <f t="shared" si="61"/>
        <v>0</v>
      </c>
      <c r="Q237" s="110">
        <v>0</v>
      </c>
      <c r="R237" s="59">
        <v>0</v>
      </c>
      <c r="S237" s="14">
        <v>0</v>
      </c>
      <c r="T237" s="59">
        <v>0</v>
      </c>
      <c r="U237" s="15">
        <f t="shared" si="54"/>
        <v>0</v>
      </c>
      <c r="V237" s="14">
        <v>0</v>
      </c>
      <c r="W237" s="15">
        <f t="shared" si="62"/>
        <v>0</v>
      </c>
      <c r="X237" s="14">
        <v>0</v>
      </c>
      <c r="Y237" s="75">
        <v>0</v>
      </c>
      <c r="Z237" s="87">
        <f t="shared" si="63"/>
        <v>0</v>
      </c>
      <c r="AA237" s="14">
        <f t="shared" si="64"/>
        <v>0</v>
      </c>
      <c r="AB237" s="75">
        <v>0</v>
      </c>
      <c r="AC237" s="75">
        <v>0</v>
      </c>
      <c r="AD237" s="59">
        <f t="shared" si="65"/>
        <v>0</v>
      </c>
      <c r="AE237" s="73">
        <v>0</v>
      </c>
      <c r="AF237" s="73">
        <v>0</v>
      </c>
      <c r="AG237" s="15">
        <f t="shared" si="66"/>
        <v>0</v>
      </c>
      <c r="AH237" s="16">
        <f t="shared" si="67"/>
        <v>0</v>
      </c>
      <c r="AI237" s="17">
        <f t="shared" si="68"/>
        <v>11</v>
      </c>
      <c r="AJ237" s="12">
        <f>VLOOKUP(A237,'PreK Proxy - Sept. 2024'!$A$2:$I$674,9,FALSE)</f>
        <v>17</v>
      </c>
      <c r="AK237" s="18">
        <f t="shared" si="69"/>
        <v>0.6470588235294118</v>
      </c>
    </row>
    <row r="238" spans="1:37" x14ac:dyDescent="0.35">
      <c r="A238" s="11" t="s">
        <v>485</v>
      </c>
      <c r="B238" s="12" t="s">
        <v>486</v>
      </c>
      <c r="C238" s="54" t="s">
        <v>1376</v>
      </c>
      <c r="D238" s="54" t="s">
        <v>117</v>
      </c>
      <c r="E238" s="66">
        <f t="shared" si="55"/>
        <v>47</v>
      </c>
      <c r="F238" s="13">
        <f t="shared" si="56"/>
        <v>34</v>
      </c>
      <c r="G238" s="67">
        <f t="shared" si="57"/>
        <v>13</v>
      </c>
      <c r="H238" s="64">
        <f t="shared" si="53"/>
        <v>11</v>
      </c>
      <c r="I238" s="80">
        <v>0</v>
      </c>
      <c r="J238" s="80">
        <v>0</v>
      </c>
      <c r="K238" s="59">
        <f t="shared" si="58"/>
        <v>0</v>
      </c>
      <c r="L238" s="59">
        <v>0</v>
      </c>
      <c r="M238" s="59">
        <v>11</v>
      </c>
      <c r="N238" s="59">
        <f t="shared" si="59"/>
        <v>11</v>
      </c>
      <c r="O238" s="15">
        <f t="shared" si="60"/>
        <v>0</v>
      </c>
      <c r="P238" s="87">
        <f t="shared" si="61"/>
        <v>0</v>
      </c>
      <c r="Q238" s="110">
        <v>0</v>
      </c>
      <c r="R238" s="59">
        <v>0</v>
      </c>
      <c r="S238" s="14">
        <v>0</v>
      </c>
      <c r="T238" s="59">
        <v>0</v>
      </c>
      <c r="U238" s="15">
        <f t="shared" si="54"/>
        <v>0</v>
      </c>
      <c r="V238" s="14">
        <v>0</v>
      </c>
      <c r="W238" s="15">
        <f t="shared" si="62"/>
        <v>0</v>
      </c>
      <c r="X238" s="14">
        <v>23</v>
      </c>
      <c r="Y238" s="75">
        <v>0</v>
      </c>
      <c r="Z238" s="87">
        <f t="shared" si="63"/>
        <v>23</v>
      </c>
      <c r="AA238" s="14">
        <f t="shared" si="64"/>
        <v>13</v>
      </c>
      <c r="AB238" s="75">
        <v>13</v>
      </c>
      <c r="AC238" s="75">
        <v>0</v>
      </c>
      <c r="AD238" s="59">
        <f t="shared" si="65"/>
        <v>13</v>
      </c>
      <c r="AE238" s="73">
        <v>0</v>
      </c>
      <c r="AF238" s="73">
        <v>0</v>
      </c>
      <c r="AG238" s="15">
        <f t="shared" si="66"/>
        <v>0</v>
      </c>
      <c r="AH238" s="16">
        <f t="shared" si="67"/>
        <v>0</v>
      </c>
      <c r="AI238" s="17">
        <f t="shared" si="68"/>
        <v>34</v>
      </c>
      <c r="AJ238" s="12">
        <f>VLOOKUP(A238,'PreK Proxy - Sept. 2024'!$A$2:$I$674,9,FALSE)</f>
        <v>36</v>
      </c>
      <c r="AK238" s="18">
        <f t="shared" si="69"/>
        <v>0.94444444444444442</v>
      </c>
    </row>
    <row r="239" spans="1:37" x14ac:dyDescent="0.35">
      <c r="A239" s="11" t="s">
        <v>487</v>
      </c>
      <c r="B239" s="12" t="s">
        <v>488</v>
      </c>
      <c r="C239" s="54" t="s">
        <v>1376</v>
      </c>
      <c r="D239" s="54" t="s">
        <v>117</v>
      </c>
      <c r="E239" s="66">
        <f t="shared" si="55"/>
        <v>17</v>
      </c>
      <c r="F239" s="13">
        <f t="shared" si="56"/>
        <v>0</v>
      </c>
      <c r="G239" s="67">
        <f t="shared" si="57"/>
        <v>17</v>
      </c>
      <c r="H239" s="64">
        <f t="shared" si="53"/>
        <v>17</v>
      </c>
      <c r="I239" s="80">
        <v>0</v>
      </c>
      <c r="J239" s="80">
        <v>17</v>
      </c>
      <c r="K239" s="59">
        <f t="shared" si="58"/>
        <v>17</v>
      </c>
      <c r="L239" s="59">
        <v>0</v>
      </c>
      <c r="M239" s="59">
        <v>0</v>
      </c>
      <c r="N239" s="59">
        <f t="shared" si="59"/>
        <v>0</v>
      </c>
      <c r="O239" s="15">
        <f t="shared" si="60"/>
        <v>0</v>
      </c>
      <c r="P239" s="87">
        <f t="shared" si="61"/>
        <v>0</v>
      </c>
      <c r="Q239" s="110">
        <v>0</v>
      </c>
      <c r="R239" s="59">
        <v>0</v>
      </c>
      <c r="S239" s="14">
        <v>0</v>
      </c>
      <c r="T239" s="59">
        <v>0</v>
      </c>
      <c r="U239" s="15">
        <f t="shared" si="54"/>
        <v>0</v>
      </c>
      <c r="V239" s="14">
        <v>0</v>
      </c>
      <c r="W239" s="15">
        <f t="shared" si="62"/>
        <v>0</v>
      </c>
      <c r="X239" s="14">
        <v>0</v>
      </c>
      <c r="Y239" s="75">
        <v>0</v>
      </c>
      <c r="Z239" s="87">
        <f t="shared" si="63"/>
        <v>0</v>
      </c>
      <c r="AA239" s="14">
        <f t="shared" si="64"/>
        <v>0</v>
      </c>
      <c r="AB239" s="75">
        <v>0</v>
      </c>
      <c r="AC239" s="75">
        <v>0</v>
      </c>
      <c r="AD239" s="59">
        <f t="shared" si="65"/>
        <v>0</v>
      </c>
      <c r="AE239" s="73">
        <v>0</v>
      </c>
      <c r="AF239" s="73">
        <v>0</v>
      </c>
      <c r="AG239" s="15">
        <f t="shared" si="66"/>
        <v>0</v>
      </c>
      <c r="AH239" s="16">
        <f t="shared" si="67"/>
        <v>17</v>
      </c>
      <c r="AI239" s="17">
        <f t="shared" si="68"/>
        <v>0</v>
      </c>
      <c r="AJ239" s="12">
        <f>VLOOKUP(A239,'PreK Proxy - Sept. 2024'!$A$2:$I$674,9,FALSE)</f>
        <v>39</v>
      </c>
      <c r="AK239" s="18">
        <f t="shared" si="69"/>
        <v>0.4358974358974359</v>
      </c>
    </row>
    <row r="240" spans="1:37" x14ac:dyDescent="0.35">
      <c r="A240" s="11" t="s">
        <v>489</v>
      </c>
      <c r="B240" s="12" t="s">
        <v>1394</v>
      </c>
      <c r="C240" s="54" t="s">
        <v>1376</v>
      </c>
      <c r="D240" s="54" t="s">
        <v>117</v>
      </c>
      <c r="E240" s="66">
        <f t="shared" si="55"/>
        <v>84</v>
      </c>
      <c r="F240" s="13">
        <f t="shared" si="56"/>
        <v>66</v>
      </c>
      <c r="G240" s="67">
        <f t="shared" si="57"/>
        <v>18</v>
      </c>
      <c r="H240" s="64">
        <f t="shared" si="53"/>
        <v>37</v>
      </c>
      <c r="I240" s="80">
        <v>2</v>
      </c>
      <c r="J240" s="80">
        <v>0</v>
      </c>
      <c r="K240" s="59">
        <f t="shared" si="58"/>
        <v>2</v>
      </c>
      <c r="L240" s="59">
        <v>0</v>
      </c>
      <c r="M240" s="59">
        <v>35</v>
      </c>
      <c r="N240" s="59">
        <f t="shared" si="59"/>
        <v>35</v>
      </c>
      <c r="O240" s="15">
        <f t="shared" si="60"/>
        <v>0</v>
      </c>
      <c r="P240" s="87">
        <f t="shared" si="61"/>
        <v>8</v>
      </c>
      <c r="Q240" s="110">
        <v>0</v>
      </c>
      <c r="R240" s="59">
        <v>8</v>
      </c>
      <c r="S240" s="14">
        <v>0</v>
      </c>
      <c r="T240" s="59">
        <v>0</v>
      </c>
      <c r="U240" s="15">
        <f t="shared" si="54"/>
        <v>0</v>
      </c>
      <c r="V240" s="14">
        <v>0</v>
      </c>
      <c r="W240" s="15">
        <f t="shared" si="62"/>
        <v>0</v>
      </c>
      <c r="X240" s="14">
        <v>0</v>
      </c>
      <c r="Y240" s="75">
        <v>0</v>
      </c>
      <c r="Z240" s="87">
        <f t="shared" si="63"/>
        <v>0</v>
      </c>
      <c r="AA240" s="14">
        <f t="shared" si="64"/>
        <v>39</v>
      </c>
      <c r="AB240" s="75">
        <v>0</v>
      </c>
      <c r="AC240" s="75">
        <v>16</v>
      </c>
      <c r="AD240" s="59">
        <f t="shared" si="65"/>
        <v>16</v>
      </c>
      <c r="AE240" s="73">
        <v>12</v>
      </c>
      <c r="AF240" s="73">
        <v>11</v>
      </c>
      <c r="AG240" s="15">
        <f t="shared" si="66"/>
        <v>23</v>
      </c>
      <c r="AH240" s="16">
        <f t="shared" si="67"/>
        <v>16</v>
      </c>
      <c r="AI240" s="17">
        <f t="shared" si="68"/>
        <v>54</v>
      </c>
      <c r="AJ240" s="12">
        <f>VLOOKUP(A240,'PreK Proxy - Sept. 2024'!$A$2:$I$674,9,FALSE)</f>
        <v>78</v>
      </c>
      <c r="AK240" s="18">
        <f t="shared" si="69"/>
        <v>0.89743589743589747</v>
      </c>
    </row>
    <row r="241" spans="1:37" x14ac:dyDescent="0.35">
      <c r="A241" s="11" t="s">
        <v>490</v>
      </c>
      <c r="B241" s="12" t="s">
        <v>491</v>
      </c>
      <c r="C241" s="54" t="s">
        <v>1376</v>
      </c>
      <c r="D241" s="54" t="s">
        <v>117</v>
      </c>
      <c r="E241" s="66">
        <f t="shared" si="55"/>
        <v>32</v>
      </c>
      <c r="F241" s="13">
        <f t="shared" si="56"/>
        <v>32</v>
      </c>
      <c r="G241" s="67">
        <f t="shared" si="57"/>
        <v>0</v>
      </c>
      <c r="H241" s="64">
        <f t="shared" si="53"/>
        <v>19</v>
      </c>
      <c r="I241" s="80">
        <v>0</v>
      </c>
      <c r="J241" s="80">
        <v>0</v>
      </c>
      <c r="K241" s="59">
        <f t="shared" si="58"/>
        <v>0</v>
      </c>
      <c r="L241" s="59">
        <v>0</v>
      </c>
      <c r="M241" s="59">
        <v>19</v>
      </c>
      <c r="N241" s="59">
        <f t="shared" si="59"/>
        <v>19</v>
      </c>
      <c r="O241" s="15">
        <f t="shared" si="60"/>
        <v>19</v>
      </c>
      <c r="P241" s="87">
        <f t="shared" si="61"/>
        <v>0</v>
      </c>
      <c r="Q241" s="110">
        <v>0</v>
      </c>
      <c r="R241" s="59">
        <v>0</v>
      </c>
      <c r="S241" s="14">
        <v>13</v>
      </c>
      <c r="T241" s="59">
        <v>19</v>
      </c>
      <c r="U241" s="15">
        <f t="shared" si="54"/>
        <v>32</v>
      </c>
      <c r="V241" s="14">
        <v>0</v>
      </c>
      <c r="W241" s="15">
        <f t="shared" si="62"/>
        <v>0</v>
      </c>
      <c r="X241" s="14">
        <v>0</v>
      </c>
      <c r="Y241" s="75">
        <v>0</v>
      </c>
      <c r="Z241" s="87">
        <f t="shared" si="63"/>
        <v>0</v>
      </c>
      <c r="AA241" s="14">
        <f t="shared" si="64"/>
        <v>0</v>
      </c>
      <c r="AB241" s="75">
        <v>0</v>
      </c>
      <c r="AC241" s="75">
        <v>0</v>
      </c>
      <c r="AD241" s="59">
        <f t="shared" si="65"/>
        <v>0</v>
      </c>
      <c r="AE241" s="73">
        <v>0</v>
      </c>
      <c r="AF241" s="73">
        <v>0</v>
      </c>
      <c r="AG241" s="15">
        <f t="shared" si="66"/>
        <v>0</v>
      </c>
      <c r="AH241" s="16">
        <f t="shared" si="67"/>
        <v>0</v>
      </c>
      <c r="AI241" s="17">
        <f t="shared" si="68"/>
        <v>32</v>
      </c>
      <c r="AJ241" s="12">
        <f>VLOOKUP(A241,'PreK Proxy - Sept. 2024'!$A$2:$I$674,9,FALSE)</f>
        <v>24</v>
      </c>
      <c r="AK241" s="18">
        <f t="shared" si="69"/>
        <v>1</v>
      </c>
    </row>
    <row r="242" spans="1:37" x14ac:dyDescent="0.35">
      <c r="A242" s="11" t="s">
        <v>492</v>
      </c>
      <c r="B242" s="12" t="s">
        <v>1393</v>
      </c>
      <c r="C242" s="54" t="s">
        <v>1376</v>
      </c>
      <c r="D242" s="54" t="s">
        <v>117</v>
      </c>
      <c r="E242" s="66">
        <f t="shared" si="55"/>
        <v>67</v>
      </c>
      <c r="F242" s="13">
        <f t="shared" si="56"/>
        <v>67</v>
      </c>
      <c r="G242" s="67">
        <f t="shared" si="57"/>
        <v>0</v>
      </c>
      <c r="H242" s="64">
        <f t="shared" si="53"/>
        <v>67</v>
      </c>
      <c r="I242" s="80">
        <v>0</v>
      </c>
      <c r="J242" s="80">
        <v>0</v>
      </c>
      <c r="K242" s="59">
        <f t="shared" si="58"/>
        <v>0</v>
      </c>
      <c r="L242" s="59">
        <v>0</v>
      </c>
      <c r="M242" s="59">
        <v>67</v>
      </c>
      <c r="N242" s="59">
        <f t="shared" si="59"/>
        <v>67</v>
      </c>
      <c r="O242" s="15">
        <f t="shared" si="60"/>
        <v>0</v>
      </c>
      <c r="P242" s="87">
        <f t="shared" si="61"/>
        <v>0</v>
      </c>
      <c r="Q242" s="110">
        <v>0</v>
      </c>
      <c r="R242" s="59">
        <v>0</v>
      </c>
      <c r="S242" s="14">
        <v>0</v>
      </c>
      <c r="T242" s="59">
        <v>0</v>
      </c>
      <c r="U242" s="15">
        <f t="shared" si="54"/>
        <v>0</v>
      </c>
      <c r="V242" s="14">
        <v>0</v>
      </c>
      <c r="W242" s="15">
        <f t="shared" si="62"/>
        <v>0</v>
      </c>
      <c r="X242" s="14">
        <v>0</v>
      </c>
      <c r="Y242" s="75">
        <v>0</v>
      </c>
      <c r="Z242" s="87">
        <f t="shared" si="63"/>
        <v>0</v>
      </c>
      <c r="AA242" s="14">
        <f t="shared" si="64"/>
        <v>0</v>
      </c>
      <c r="AB242" s="75">
        <v>0</v>
      </c>
      <c r="AC242" s="75">
        <v>0</v>
      </c>
      <c r="AD242" s="59">
        <f t="shared" si="65"/>
        <v>0</v>
      </c>
      <c r="AE242" s="73">
        <v>0</v>
      </c>
      <c r="AF242" s="73">
        <v>0</v>
      </c>
      <c r="AG242" s="15">
        <f t="shared" si="66"/>
        <v>0</v>
      </c>
      <c r="AH242" s="16">
        <f t="shared" si="67"/>
        <v>0</v>
      </c>
      <c r="AI242" s="17">
        <f t="shared" si="68"/>
        <v>67</v>
      </c>
      <c r="AJ242" s="12">
        <f>VLOOKUP(A242,'PreK Proxy - Sept. 2024'!$A$2:$I$674,9,FALSE)</f>
        <v>96</v>
      </c>
      <c r="AK242" s="18">
        <f t="shared" si="69"/>
        <v>0.69791666666666663</v>
      </c>
    </row>
    <row r="243" spans="1:37" x14ac:dyDescent="0.35">
      <c r="A243" s="11" t="s">
        <v>493</v>
      </c>
      <c r="B243" s="12" t="s">
        <v>494</v>
      </c>
      <c r="C243" s="54" t="s">
        <v>1376</v>
      </c>
      <c r="D243" s="54" t="s">
        <v>117</v>
      </c>
      <c r="E243" s="66">
        <f t="shared" si="55"/>
        <v>39</v>
      </c>
      <c r="F243" s="13">
        <f t="shared" si="56"/>
        <v>7</v>
      </c>
      <c r="G243" s="67">
        <f t="shared" si="57"/>
        <v>32</v>
      </c>
      <c r="H243" s="64">
        <f t="shared" si="53"/>
        <v>16</v>
      </c>
      <c r="I243" s="80">
        <v>0</v>
      </c>
      <c r="J243" s="80">
        <v>16</v>
      </c>
      <c r="K243" s="59">
        <f t="shared" si="58"/>
        <v>16</v>
      </c>
      <c r="L243" s="59">
        <v>0</v>
      </c>
      <c r="M243" s="59">
        <v>0</v>
      </c>
      <c r="N243" s="59">
        <f t="shared" si="59"/>
        <v>0</v>
      </c>
      <c r="O243" s="15">
        <f t="shared" si="60"/>
        <v>0</v>
      </c>
      <c r="P243" s="87">
        <f t="shared" si="61"/>
        <v>0</v>
      </c>
      <c r="Q243" s="110">
        <v>0</v>
      </c>
      <c r="R243" s="59">
        <v>0</v>
      </c>
      <c r="S243" s="14">
        <v>0</v>
      </c>
      <c r="T243" s="59">
        <v>0</v>
      </c>
      <c r="U243" s="15">
        <f t="shared" si="54"/>
        <v>0</v>
      </c>
      <c r="V243" s="14">
        <v>0</v>
      </c>
      <c r="W243" s="15">
        <f t="shared" si="62"/>
        <v>0</v>
      </c>
      <c r="X243" s="14">
        <v>0</v>
      </c>
      <c r="Y243" s="75">
        <v>0</v>
      </c>
      <c r="Z243" s="87">
        <f t="shared" si="63"/>
        <v>0</v>
      </c>
      <c r="AA243" s="14">
        <f t="shared" si="64"/>
        <v>23</v>
      </c>
      <c r="AB243" s="75">
        <v>0</v>
      </c>
      <c r="AC243" s="75">
        <v>16</v>
      </c>
      <c r="AD243" s="59">
        <f t="shared" si="65"/>
        <v>16</v>
      </c>
      <c r="AE243" s="73">
        <v>4</v>
      </c>
      <c r="AF243" s="73">
        <v>3</v>
      </c>
      <c r="AG243" s="15">
        <f t="shared" si="66"/>
        <v>7</v>
      </c>
      <c r="AH243" s="16">
        <f t="shared" si="67"/>
        <v>32</v>
      </c>
      <c r="AI243" s="17">
        <f t="shared" si="68"/>
        <v>3</v>
      </c>
      <c r="AJ243" s="12">
        <f>VLOOKUP(A243,'PreK Proxy - Sept. 2024'!$A$2:$I$674,9,FALSE)</f>
        <v>25</v>
      </c>
      <c r="AK243" s="18">
        <f t="shared" si="69"/>
        <v>1</v>
      </c>
    </row>
    <row r="244" spans="1:37" x14ac:dyDescent="0.35">
      <c r="A244" s="11" t="s">
        <v>495</v>
      </c>
      <c r="B244" s="12" t="s">
        <v>496</v>
      </c>
      <c r="C244" s="54" t="s">
        <v>1376</v>
      </c>
      <c r="D244" s="54" t="s">
        <v>117</v>
      </c>
      <c r="E244" s="66">
        <f t="shared" si="55"/>
        <v>107</v>
      </c>
      <c r="F244" s="13">
        <f t="shared" si="56"/>
        <v>90</v>
      </c>
      <c r="G244" s="67">
        <f t="shared" si="57"/>
        <v>17</v>
      </c>
      <c r="H244" s="64">
        <f t="shared" si="53"/>
        <v>74</v>
      </c>
      <c r="I244" s="80">
        <v>0</v>
      </c>
      <c r="J244" s="80">
        <v>0</v>
      </c>
      <c r="K244" s="59">
        <f t="shared" si="58"/>
        <v>0</v>
      </c>
      <c r="L244" s="59">
        <v>0</v>
      </c>
      <c r="M244" s="59">
        <v>74</v>
      </c>
      <c r="N244" s="59">
        <f t="shared" si="59"/>
        <v>74</v>
      </c>
      <c r="O244" s="15">
        <f t="shared" si="60"/>
        <v>0</v>
      </c>
      <c r="P244" s="87">
        <f t="shared" si="61"/>
        <v>16</v>
      </c>
      <c r="Q244" s="110">
        <v>0</v>
      </c>
      <c r="R244" s="59">
        <v>16</v>
      </c>
      <c r="S244" s="14">
        <v>0</v>
      </c>
      <c r="T244" s="59">
        <v>0</v>
      </c>
      <c r="U244" s="15">
        <f t="shared" si="54"/>
        <v>0</v>
      </c>
      <c r="V244" s="14">
        <v>0</v>
      </c>
      <c r="W244" s="15">
        <f t="shared" si="62"/>
        <v>0</v>
      </c>
      <c r="X244" s="14">
        <v>0</v>
      </c>
      <c r="Y244" s="75">
        <v>0</v>
      </c>
      <c r="Z244" s="87">
        <f t="shared" si="63"/>
        <v>0</v>
      </c>
      <c r="AA244" s="14">
        <f t="shared" si="64"/>
        <v>17</v>
      </c>
      <c r="AB244" s="75">
        <v>17</v>
      </c>
      <c r="AC244" s="75">
        <v>0</v>
      </c>
      <c r="AD244" s="59">
        <f t="shared" si="65"/>
        <v>17</v>
      </c>
      <c r="AE244" s="73">
        <v>0</v>
      </c>
      <c r="AF244" s="73">
        <v>0</v>
      </c>
      <c r="AG244" s="15">
        <f t="shared" si="66"/>
        <v>0</v>
      </c>
      <c r="AH244" s="16">
        <f t="shared" si="67"/>
        <v>0</v>
      </c>
      <c r="AI244" s="17">
        <f t="shared" si="68"/>
        <v>90</v>
      </c>
      <c r="AJ244" s="12">
        <f>VLOOKUP(A244,'PreK Proxy - Sept. 2024'!$A$2:$I$674,9,FALSE)</f>
        <v>118</v>
      </c>
      <c r="AK244" s="18">
        <f t="shared" si="69"/>
        <v>0.76271186440677963</v>
      </c>
    </row>
    <row r="245" spans="1:37" x14ac:dyDescent="0.35">
      <c r="A245" s="11" t="s">
        <v>497</v>
      </c>
      <c r="B245" s="12" t="s">
        <v>498</v>
      </c>
      <c r="C245" s="54" t="s">
        <v>1418</v>
      </c>
      <c r="D245" s="54" t="s">
        <v>379</v>
      </c>
      <c r="E245" s="66">
        <f t="shared" si="55"/>
        <v>0</v>
      </c>
      <c r="F245" s="13">
        <f t="shared" si="56"/>
        <v>0</v>
      </c>
      <c r="G245" s="67">
        <f t="shared" si="57"/>
        <v>0</v>
      </c>
      <c r="H245" s="64">
        <f t="shared" si="53"/>
        <v>0</v>
      </c>
      <c r="I245" s="80">
        <v>0</v>
      </c>
      <c r="J245" s="80">
        <v>0</v>
      </c>
      <c r="K245" s="59">
        <f t="shared" si="58"/>
        <v>0</v>
      </c>
      <c r="L245" s="59">
        <v>0</v>
      </c>
      <c r="M245" s="59">
        <v>0</v>
      </c>
      <c r="N245" s="59">
        <f t="shared" si="59"/>
        <v>0</v>
      </c>
      <c r="O245" s="15">
        <f t="shared" si="60"/>
        <v>0</v>
      </c>
      <c r="P245" s="87">
        <f t="shared" si="61"/>
        <v>0</v>
      </c>
      <c r="Q245" s="110">
        <v>0</v>
      </c>
      <c r="R245" s="59">
        <v>0</v>
      </c>
      <c r="S245" s="14">
        <v>0</v>
      </c>
      <c r="T245" s="59">
        <v>0</v>
      </c>
      <c r="U245" s="15">
        <f t="shared" si="54"/>
        <v>0</v>
      </c>
      <c r="V245" s="14">
        <v>0</v>
      </c>
      <c r="W245" s="15">
        <f t="shared" si="62"/>
        <v>0</v>
      </c>
      <c r="X245" s="14">
        <v>0</v>
      </c>
      <c r="Y245" s="75">
        <v>0</v>
      </c>
      <c r="Z245" s="87">
        <f t="shared" si="63"/>
        <v>0</v>
      </c>
      <c r="AA245" s="14">
        <f t="shared" si="64"/>
        <v>0</v>
      </c>
      <c r="AB245" s="75">
        <v>0</v>
      </c>
      <c r="AC245" s="75">
        <v>0</v>
      </c>
      <c r="AD245" s="59">
        <f t="shared" si="65"/>
        <v>0</v>
      </c>
      <c r="AE245" s="73">
        <v>0</v>
      </c>
      <c r="AF245" s="73">
        <v>0</v>
      </c>
      <c r="AG245" s="15">
        <f t="shared" si="66"/>
        <v>0</v>
      </c>
      <c r="AH245" s="16">
        <f t="shared" si="67"/>
        <v>0</v>
      </c>
      <c r="AI245" s="17">
        <f t="shared" si="68"/>
        <v>0</v>
      </c>
      <c r="AJ245" s="12">
        <f>VLOOKUP(A245,'PreK Proxy - Sept. 2024'!$A$2:$I$674,9,FALSE)</f>
        <v>285</v>
      </c>
      <c r="AK245" s="18">
        <f t="shared" si="69"/>
        <v>0</v>
      </c>
    </row>
    <row r="246" spans="1:37" x14ac:dyDescent="0.35">
      <c r="A246" s="11" t="s">
        <v>499</v>
      </c>
      <c r="B246" s="12" t="s">
        <v>500</v>
      </c>
      <c r="C246" s="54" t="s">
        <v>1418</v>
      </c>
      <c r="D246" s="54" t="s">
        <v>379</v>
      </c>
      <c r="E246" s="66">
        <f t="shared" si="55"/>
        <v>123</v>
      </c>
      <c r="F246" s="13">
        <f t="shared" si="56"/>
        <v>123</v>
      </c>
      <c r="G246" s="67">
        <f t="shared" si="57"/>
        <v>0</v>
      </c>
      <c r="H246" s="64">
        <f t="shared" si="53"/>
        <v>33</v>
      </c>
      <c r="I246" s="80">
        <v>0</v>
      </c>
      <c r="J246" s="80">
        <v>0</v>
      </c>
      <c r="K246" s="59">
        <f t="shared" si="58"/>
        <v>0</v>
      </c>
      <c r="L246" s="59">
        <v>0</v>
      </c>
      <c r="M246" s="59">
        <v>33</v>
      </c>
      <c r="N246" s="59">
        <f t="shared" si="59"/>
        <v>33</v>
      </c>
      <c r="O246" s="15">
        <f t="shared" si="60"/>
        <v>0</v>
      </c>
      <c r="P246" s="87">
        <f t="shared" si="61"/>
        <v>0</v>
      </c>
      <c r="Q246" s="110">
        <v>0</v>
      </c>
      <c r="R246" s="59">
        <v>0</v>
      </c>
      <c r="S246" s="14">
        <v>90</v>
      </c>
      <c r="T246" s="59">
        <v>0</v>
      </c>
      <c r="U246" s="15">
        <f t="shared" si="54"/>
        <v>90</v>
      </c>
      <c r="V246" s="14">
        <v>0</v>
      </c>
      <c r="W246" s="15">
        <f t="shared" si="62"/>
        <v>0</v>
      </c>
      <c r="X246" s="14">
        <v>0</v>
      </c>
      <c r="Y246" s="75">
        <v>0</v>
      </c>
      <c r="Z246" s="87">
        <f t="shared" si="63"/>
        <v>0</v>
      </c>
      <c r="AA246" s="14">
        <f t="shared" si="64"/>
        <v>0</v>
      </c>
      <c r="AB246" s="75">
        <v>0</v>
      </c>
      <c r="AC246" s="75">
        <v>0</v>
      </c>
      <c r="AD246" s="59">
        <f t="shared" si="65"/>
        <v>0</v>
      </c>
      <c r="AE246" s="73">
        <v>0</v>
      </c>
      <c r="AF246" s="73">
        <v>0</v>
      </c>
      <c r="AG246" s="15">
        <f t="shared" si="66"/>
        <v>0</v>
      </c>
      <c r="AH246" s="16">
        <f t="shared" si="67"/>
        <v>0</v>
      </c>
      <c r="AI246" s="17">
        <f t="shared" si="68"/>
        <v>123</v>
      </c>
      <c r="AJ246" s="12">
        <f>VLOOKUP(A246,'PreK Proxy - Sept. 2024'!$A$2:$I$674,9,FALSE)</f>
        <v>249</v>
      </c>
      <c r="AK246" s="18">
        <f t="shared" si="69"/>
        <v>0.49397590361445781</v>
      </c>
    </row>
    <row r="247" spans="1:37" x14ac:dyDescent="0.35">
      <c r="A247" s="11" t="s">
        <v>501</v>
      </c>
      <c r="B247" s="12" t="s">
        <v>502</v>
      </c>
      <c r="C247" s="54" t="s">
        <v>1418</v>
      </c>
      <c r="D247" s="54" t="s">
        <v>379</v>
      </c>
      <c r="E247" s="66">
        <f t="shared" si="55"/>
        <v>307</v>
      </c>
      <c r="F247" s="13">
        <f t="shared" si="56"/>
        <v>229</v>
      </c>
      <c r="G247" s="67">
        <f t="shared" si="57"/>
        <v>78</v>
      </c>
      <c r="H247" s="64">
        <f t="shared" si="53"/>
        <v>271</v>
      </c>
      <c r="I247" s="80">
        <v>0</v>
      </c>
      <c r="J247" s="80">
        <v>78</v>
      </c>
      <c r="K247" s="59">
        <f t="shared" si="58"/>
        <v>78</v>
      </c>
      <c r="L247" s="59">
        <v>0</v>
      </c>
      <c r="M247" s="59">
        <v>193</v>
      </c>
      <c r="N247" s="59">
        <f t="shared" si="59"/>
        <v>193</v>
      </c>
      <c r="O247" s="15">
        <f t="shared" si="60"/>
        <v>0</v>
      </c>
      <c r="P247" s="87">
        <f t="shared" si="61"/>
        <v>0</v>
      </c>
      <c r="Q247" s="110">
        <v>0</v>
      </c>
      <c r="R247" s="59">
        <v>0</v>
      </c>
      <c r="S247" s="14">
        <v>0</v>
      </c>
      <c r="T247" s="59">
        <v>0</v>
      </c>
      <c r="U247" s="15">
        <f t="shared" si="54"/>
        <v>0</v>
      </c>
      <c r="V247" s="14">
        <v>36</v>
      </c>
      <c r="W247" s="15">
        <f t="shared" si="62"/>
        <v>36</v>
      </c>
      <c r="X247" s="14">
        <v>0</v>
      </c>
      <c r="Y247" s="75">
        <v>0</v>
      </c>
      <c r="Z247" s="87">
        <f t="shared" si="63"/>
        <v>0</v>
      </c>
      <c r="AA247" s="14">
        <f t="shared" si="64"/>
        <v>0</v>
      </c>
      <c r="AB247" s="75">
        <v>0</v>
      </c>
      <c r="AC247" s="75">
        <v>0</v>
      </c>
      <c r="AD247" s="59">
        <f t="shared" si="65"/>
        <v>0</v>
      </c>
      <c r="AE247" s="73">
        <v>0</v>
      </c>
      <c r="AF247" s="73">
        <v>0</v>
      </c>
      <c r="AG247" s="15">
        <f t="shared" si="66"/>
        <v>0</v>
      </c>
      <c r="AH247" s="16">
        <f t="shared" si="67"/>
        <v>78</v>
      </c>
      <c r="AI247" s="17">
        <f t="shared" si="68"/>
        <v>229</v>
      </c>
      <c r="AJ247" s="12">
        <f>VLOOKUP(A247,'PreK Proxy - Sept. 2024'!$A$2:$I$674,9,FALSE)</f>
        <v>634</v>
      </c>
      <c r="AK247" s="18">
        <f t="shared" si="69"/>
        <v>0.48422712933753942</v>
      </c>
    </row>
    <row r="248" spans="1:37" x14ac:dyDescent="0.35">
      <c r="A248" s="11" t="s">
        <v>503</v>
      </c>
      <c r="B248" s="12" t="s">
        <v>504</v>
      </c>
      <c r="C248" s="54" t="s">
        <v>1418</v>
      </c>
      <c r="D248" s="54" t="s">
        <v>379</v>
      </c>
      <c r="E248" s="66">
        <f t="shared" si="55"/>
        <v>96</v>
      </c>
      <c r="F248" s="13">
        <f t="shared" si="56"/>
        <v>53</v>
      </c>
      <c r="G248" s="67">
        <f t="shared" si="57"/>
        <v>43</v>
      </c>
      <c r="H248" s="64">
        <f t="shared" si="53"/>
        <v>60</v>
      </c>
      <c r="I248" s="80">
        <v>0</v>
      </c>
      <c r="J248" s="80">
        <v>42</v>
      </c>
      <c r="K248" s="59">
        <f t="shared" si="58"/>
        <v>42</v>
      </c>
      <c r="L248" s="59">
        <v>0</v>
      </c>
      <c r="M248" s="59">
        <v>18</v>
      </c>
      <c r="N248" s="59">
        <f t="shared" si="59"/>
        <v>18</v>
      </c>
      <c r="O248" s="15">
        <f t="shared" si="60"/>
        <v>0</v>
      </c>
      <c r="P248" s="87">
        <f t="shared" si="61"/>
        <v>36</v>
      </c>
      <c r="Q248" s="110">
        <v>1</v>
      </c>
      <c r="R248" s="59">
        <v>35</v>
      </c>
      <c r="S248" s="14">
        <v>0</v>
      </c>
      <c r="T248" s="59">
        <v>0</v>
      </c>
      <c r="U248" s="15">
        <f t="shared" si="54"/>
        <v>0</v>
      </c>
      <c r="V248" s="14">
        <v>0</v>
      </c>
      <c r="W248" s="15">
        <f t="shared" si="62"/>
        <v>0</v>
      </c>
      <c r="X248" s="14">
        <v>0</v>
      </c>
      <c r="Y248" s="75">
        <v>0</v>
      </c>
      <c r="Z248" s="87">
        <f t="shared" si="63"/>
        <v>0</v>
      </c>
      <c r="AA248" s="14">
        <f t="shared" si="64"/>
        <v>0</v>
      </c>
      <c r="AB248" s="75">
        <v>0</v>
      </c>
      <c r="AC248" s="75">
        <v>0</v>
      </c>
      <c r="AD248" s="59">
        <f t="shared" si="65"/>
        <v>0</v>
      </c>
      <c r="AE248" s="73">
        <v>0</v>
      </c>
      <c r="AF248" s="73">
        <v>0</v>
      </c>
      <c r="AG248" s="15">
        <f t="shared" si="66"/>
        <v>0</v>
      </c>
      <c r="AH248" s="16">
        <f t="shared" si="67"/>
        <v>43</v>
      </c>
      <c r="AI248" s="17">
        <f t="shared" si="68"/>
        <v>53</v>
      </c>
      <c r="AJ248" s="12">
        <f>VLOOKUP(A248,'PreK Proxy - Sept. 2024'!$A$2:$I$674,9,FALSE)</f>
        <v>166</v>
      </c>
      <c r="AK248" s="18">
        <f t="shared" si="69"/>
        <v>0.57831325301204817</v>
      </c>
    </row>
    <row r="249" spans="1:37" x14ac:dyDescent="0.35">
      <c r="A249" s="11" t="s">
        <v>505</v>
      </c>
      <c r="B249" s="12" t="s">
        <v>506</v>
      </c>
      <c r="C249" s="54" t="s">
        <v>1418</v>
      </c>
      <c r="D249" s="54" t="s">
        <v>379</v>
      </c>
      <c r="E249" s="66">
        <f t="shared" si="55"/>
        <v>52</v>
      </c>
      <c r="F249" s="13">
        <f t="shared" si="56"/>
        <v>52</v>
      </c>
      <c r="G249" s="67">
        <f t="shared" si="57"/>
        <v>0</v>
      </c>
      <c r="H249" s="64">
        <f t="shared" si="53"/>
        <v>0</v>
      </c>
      <c r="I249" s="80">
        <v>0</v>
      </c>
      <c r="J249" s="80">
        <v>0</v>
      </c>
      <c r="K249" s="59">
        <f t="shared" si="58"/>
        <v>0</v>
      </c>
      <c r="L249" s="59">
        <v>0</v>
      </c>
      <c r="M249" s="59">
        <v>0</v>
      </c>
      <c r="N249" s="59">
        <f t="shared" si="59"/>
        <v>0</v>
      </c>
      <c r="O249" s="15">
        <f t="shared" si="60"/>
        <v>0</v>
      </c>
      <c r="P249" s="87">
        <f t="shared" si="61"/>
        <v>52</v>
      </c>
      <c r="Q249" s="110">
        <v>0</v>
      </c>
      <c r="R249" s="59">
        <v>52</v>
      </c>
      <c r="S249" s="14">
        <v>0</v>
      </c>
      <c r="T249" s="59">
        <v>0</v>
      </c>
      <c r="U249" s="15">
        <f t="shared" si="54"/>
        <v>0</v>
      </c>
      <c r="V249" s="14">
        <v>0</v>
      </c>
      <c r="W249" s="15">
        <f t="shared" si="62"/>
        <v>0</v>
      </c>
      <c r="X249" s="14">
        <v>0</v>
      </c>
      <c r="Y249" s="75">
        <v>0</v>
      </c>
      <c r="Z249" s="87">
        <f t="shared" si="63"/>
        <v>0</v>
      </c>
      <c r="AA249" s="14">
        <f t="shared" si="64"/>
        <v>0</v>
      </c>
      <c r="AB249" s="75">
        <v>0</v>
      </c>
      <c r="AC249" s="75">
        <v>0</v>
      </c>
      <c r="AD249" s="59">
        <f t="shared" si="65"/>
        <v>0</v>
      </c>
      <c r="AE249" s="73">
        <v>0</v>
      </c>
      <c r="AF249" s="73">
        <v>0</v>
      </c>
      <c r="AG249" s="15">
        <f t="shared" si="66"/>
        <v>0</v>
      </c>
      <c r="AH249" s="16">
        <f t="shared" si="67"/>
        <v>0</v>
      </c>
      <c r="AI249" s="17">
        <f t="shared" si="68"/>
        <v>52</v>
      </c>
      <c r="AJ249" s="12">
        <f>VLOOKUP(A249,'PreK Proxy - Sept. 2024'!$A$2:$I$674,9,FALSE)</f>
        <v>214</v>
      </c>
      <c r="AK249" s="18">
        <f t="shared" si="69"/>
        <v>0.24299065420560748</v>
      </c>
    </row>
    <row r="250" spans="1:37" x14ac:dyDescent="0.35">
      <c r="A250" s="11" t="s">
        <v>507</v>
      </c>
      <c r="B250" s="12" t="s">
        <v>508</v>
      </c>
      <c r="C250" s="54" t="s">
        <v>1418</v>
      </c>
      <c r="D250" s="54" t="s">
        <v>379</v>
      </c>
      <c r="E250" s="66">
        <f t="shared" si="55"/>
        <v>55</v>
      </c>
      <c r="F250" s="13">
        <f t="shared" si="56"/>
        <v>55</v>
      </c>
      <c r="G250" s="67">
        <f t="shared" si="57"/>
        <v>0</v>
      </c>
      <c r="H250" s="64">
        <f t="shared" si="53"/>
        <v>55</v>
      </c>
      <c r="I250" s="80">
        <v>0</v>
      </c>
      <c r="J250" s="80">
        <v>0</v>
      </c>
      <c r="K250" s="59">
        <f t="shared" si="58"/>
        <v>0</v>
      </c>
      <c r="L250" s="59">
        <v>0</v>
      </c>
      <c r="M250" s="59">
        <v>55</v>
      </c>
      <c r="N250" s="59">
        <f t="shared" si="59"/>
        <v>55</v>
      </c>
      <c r="O250" s="15">
        <f t="shared" si="60"/>
        <v>0</v>
      </c>
      <c r="P250" s="87">
        <f t="shared" si="61"/>
        <v>0</v>
      </c>
      <c r="Q250" s="110">
        <v>0</v>
      </c>
      <c r="R250" s="59">
        <v>0</v>
      </c>
      <c r="S250" s="14">
        <v>0</v>
      </c>
      <c r="T250" s="59">
        <v>0</v>
      </c>
      <c r="U250" s="15">
        <f t="shared" si="54"/>
        <v>0</v>
      </c>
      <c r="V250" s="14">
        <v>0</v>
      </c>
      <c r="W250" s="15">
        <f t="shared" si="62"/>
        <v>0</v>
      </c>
      <c r="X250" s="14">
        <v>0</v>
      </c>
      <c r="Y250" s="75">
        <v>0</v>
      </c>
      <c r="Z250" s="87">
        <f t="shared" si="63"/>
        <v>0</v>
      </c>
      <c r="AA250" s="14">
        <f t="shared" si="64"/>
        <v>0</v>
      </c>
      <c r="AB250" s="75">
        <v>0</v>
      </c>
      <c r="AC250" s="75">
        <v>0</v>
      </c>
      <c r="AD250" s="59">
        <f t="shared" si="65"/>
        <v>0</v>
      </c>
      <c r="AE250" s="73">
        <v>0</v>
      </c>
      <c r="AF250" s="73">
        <v>0</v>
      </c>
      <c r="AG250" s="15">
        <f t="shared" si="66"/>
        <v>0</v>
      </c>
      <c r="AH250" s="16">
        <f t="shared" si="67"/>
        <v>0</v>
      </c>
      <c r="AI250" s="17">
        <f t="shared" si="68"/>
        <v>55</v>
      </c>
      <c r="AJ250" s="12">
        <f>VLOOKUP(A250,'PreK Proxy - Sept. 2024'!$A$2:$I$674,9,FALSE)</f>
        <v>102</v>
      </c>
      <c r="AK250" s="18">
        <f t="shared" si="69"/>
        <v>0.53921568627450978</v>
      </c>
    </row>
    <row r="251" spans="1:37" x14ac:dyDescent="0.35">
      <c r="A251" s="11" t="s">
        <v>509</v>
      </c>
      <c r="B251" s="12" t="s">
        <v>510</v>
      </c>
      <c r="C251" s="54" t="s">
        <v>1418</v>
      </c>
      <c r="D251" s="54" t="s">
        <v>379</v>
      </c>
      <c r="E251" s="66">
        <f t="shared" si="55"/>
        <v>108</v>
      </c>
      <c r="F251" s="13">
        <f t="shared" si="56"/>
        <v>108</v>
      </c>
      <c r="G251" s="67">
        <f t="shared" si="57"/>
        <v>0</v>
      </c>
      <c r="H251" s="64">
        <f t="shared" si="53"/>
        <v>32</v>
      </c>
      <c r="I251" s="80">
        <v>0</v>
      </c>
      <c r="J251" s="80">
        <v>0</v>
      </c>
      <c r="K251" s="59">
        <f t="shared" si="58"/>
        <v>0</v>
      </c>
      <c r="L251" s="59">
        <v>1</v>
      </c>
      <c r="M251" s="59">
        <v>31</v>
      </c>
      <c r="N251" s="59">
        <f t="shared" si="59"/>
        <v>32</v>
      </c>
      <c r="O251" s="15">
        <f t="shared" si="60"/>
        <v>0</v>
      </c>
      <c r="P251" s="87">
        <f t="shared" si="61"/>
        <v>76</v>
      </c>
      <c r="Q251" s="110">
        <v>0</v>
      </c>
      <c r="R251" s="59">
        <v>76</v>
      </c>
      <c r="S251" s="14">
        <v>0</v>
      </c>
      <c r="T251" s="59">
        <v>0</v>
      </c>
      <c r="U251" s="15">
        <f t="shared" si="54"/>
        <v>0</v>
      </c>
      <c r="V251" s="14">
        <v>0</v>
      </c>
      <c r="W251" s="15">
        <f t="shared" si="62"/>
        <v>0</v>
      </c>
      <c r="X251" s="14">
        <v>0</v>
      </c>
      <c r="Y251" s="75">
        <v>0</v>
      </c>
      <c r="Z251" s="87">
        <f t="shared" si="63"/>
        <v>0</v>
      </c>
      <c r="AA251" s="14">
        <f t="shared" si="64"/>
        <v>0</v>
      </c>
      <c r="AB251" s="75">
        <v>0</v>
      </c>
      <c r="AC251" s="75">
        <v>0</v>
      </c>
      <c r="AD251" s="59">
        <f t="shared" si="65"/>
        <v>0</v>
      </c>
      <c r="AE251" s="73">
        <v>0</v>
      </c>
      <c r="AF251" s="73">
        <v>0</v>
      </c>
      <c r="AG251" s="15">
        <f t="shared" si="66"/>
        <v>0</v>
      </c>
      <c r="AH251" s="16">
        <f t="shared" si="67"/>
        <v>0</v>
      </c>
      <c r="AI251" s="17">
        <f t="shared" si="68"/>
        <v>107</v>
      </c>
      <c r="AJ251" s="12">
        <f>VLOOKUP(A251,'PreK Proxy - Sept. 2024'!$A$2:$I$674,9,FALSE)</f>
        <v>197</v>
      </c>
      <c r="AK251" s="18">
        <f t="shared" si="69"/>
        <v>0.54314720812182737</v>
      </c>
    </row>
    <row r="252" spans="1:37" x14ac:dyDescent="0.35">
      <c r="A252" s="11" t="s">
        <v>511</v>
      </c>
      <c r="B252" s="12" t="s">
        <v>512</v>
      </c>
      <c r="C252" s="54" t="s">
        <v>1418</v>
      </c>
      <c r="D252" s="54" t="s">
        <v>379</v>
      </c>
      <c r="E252" s="66">
        <f t="shared" si="55"/>
        <v>134</v>
      </c>
      <c r="F252" s="13">
        <f t="shared" si="56"/>
        <v>33</v>
      </c>
      <c r="G252" s="67">
        <f t="shared" si="57"/>
        <v>101</v>
      </c>
      <c r="H252" s="64">
        <f t="shared" si="53"/>
        <v>134</v>
      </c>
      <c r="I252" s="80">
        <v>7</v>
      </c>
      <c r="J252" s="80">
        <v>94</v>
      </c>
      <c r="K252" s="59">
        <f t="shared" si="58"/>
        <v>101</v>
      </c>
      <c r="L252" s="59">
        <v>0</v>
      </c>
      <c r="M252" s="59">
        <v>33</v>
      </c>
      <c r="N252" s="59">
        <f t="shared" si="59"/>
        <v>33</v>
      </c>
      <c r="O252" s="15">
        <f t="shared" si="60"/>
        <v>0</v>
      </c>
      <c r="P252" s="87">
        <f t="shared" si="61"/>
        <v>0</v>
      </c>
      <c r="Q252" s="110">
        <v>0</v>
      </c>
      <c r="R252" s="59">
        <v>0</v>
      </c>
      <c r="S252" s="14">
        <v>0</v>
      </c>
      <c r="T252" s="59">
        <v>0</v>
      </c>
      <c r="U252" s="15">
        <f t="shared" si="54"/>
        <v>0</v>
      </c>
      <c r="V252" s="14">
        <v>0</v>
      </c>
      <c r="W252" s="15">
        <f t="shared" si="62"/>
        <v>0</v>
      </c>
      <c r="X252" s="14">
        <v>0</v>
      </c>
      <c r="Y252" s="75">
        <v>0</v>
      </c>
      <c r="Z252" s="87">
        <f t="shared" si="63"/>
        <v>0</v>
      </c>
      <c r="AA252" s="14">
        <f t="shared" si="64"/>
        <v>0</v>
      </c>
      <c r="AB252" s="75">
        <v>0</v>
      </c>
      <c r="AC252" s="75">
        <v>0</v>
      </c>
      <c r="AD252" s="59">
        <f t="shared" si="65"/>
        <v>0</v>
      </c>
      <c r="AE252" s="73">
        <v>0</v>
      </c>
      <c r="AF252" s="73">
        <v>0</v>
      </c>
      <c r="AG252" s="15">
        <f t="shared" si="66"/>
        <v>0</v>
      </c>
      <c r="AH252" s="16">
        <f t="shared" si="67"/>
        <v>94</v>
      </c>
      <c r="AI252" s="17">
        <f t="shared" si="68"/>
        <v>33</v>
      </c>
      <c r="AJ252" s="12">
        <f>VLOOKUP(A252,'PreK Proxy - Sept. 2024'!$A$2:$I$674,9,FALSE)</f>
        <v>244</v>
      </c>
      <c r="AK252" s="18">
        <f t="shared" si="69"/>
        <v>0.52049180327868849</v>
      </c>
    </row>
    <row r="253" spans="1:37" x14ac:dyDescent="0.35">
      <c r="A253" s="11" t="s">
        <v>513</v>
      </c>
      <c r="B253" s="12" t="s">
        <v>514</v>
      </c>
      <c r="C253" s="54" t="s">
        <v>1418</v>
      </c>
      <c r="D253" s="54" t="s">
        <v>379</v>
      </c>
      <c r="E253" s="66">
        <f t="shared" si="55"/>
        <v>105</v>
      </c>
      <c r="F253" s="13">
        <f t="shared" si="56"/>
        <v>105</v>
      </c>
      <c r="G253" s="67">
        <f t="shared" si="57"/>
        <v>0</v>
      </c>
      <c r="H253" s="64">
        <f t="shared" si="53"/>
        <v>0</v>
      </c>
      <c r="I253" s="80">
        <v>0</v>
      </c>
      <c r="J253" s="80">
        <v>0</v>
      </c>
      <c r="K253" s="59">
        <f t="shared" si="58"/>
        <v>0</v>
      </c>
      <c r="L253" s="59">
        <v>0</v>
      </c>
      <c r="M253" s="59">
        <v>0</v>
      </c>
      <c r="N253" s="59">
        <f t="shared" si="59"/>
        <v>0</v>
      </c>
      <c r="O253" s="15">
        <f t="shared" si="60"/>
        <v>0</v>
      </c>
      <c r="P253" s="87">
        <f t="shared" si="61"/>
        <v>105</v>
      </c>
      <c r="Q253" s="110">
        <v>0</v>
      </c>
      <c r="R253" s="59">
        <v>105</v>
      </c>
      <c r="S253" s="14">
        <v>0</v>
      </c>
      <c r="T253" s="59">
        <v>0</v>
      </c>
      <c r="U253" s="15">
        <f t="shared" si="54"/>
        <v>0</v>
      </c>
      <c r="V253" s="14">
        <v>0</v>
      </c>
      <c r="W253" s="15">
        <f t="shared" si="62"/>
        <v>0</v>
      </c>
      <c r="X253" s="14">
        <v>0</v>
      </c>
      <c r="Y253" s="75">
        <v>0</v>
      </c>
      <c r="Z253" s="87">
        <f t="shared" si="63"/>
        <v>0</v>
      </c>
      <c r="AA253" s="14">
        <f t="shared" si="64"/>
        <v>0</v>
      </c>
      <c r="AB253" s="75">
        <v>0</v>
      </c>
      <c r="AC253" s="75">
        <v>0</v>
      </c>
      <c r="AD253" s="59">
        <f t="shared" si="65"/>
        <v>0</v>
      </c>
      <c r="AE253" s="73">
        <v>0</v>
      </c>
      <c r="AF253" s="73">
        <v>0</v>
      </c>
      <c r="AG253" s="15">
        <f t="shared" si="66"/>
        <v>0</v>
      </c>
      <c r="AH253" s="16">
        <f t="shared" si="67"/>
        <v>0</v>
      </c>
      <c r="AI253" s="17">
        <f t="shared" si="68"/>
        <v>105</v>
      </c>
      <c r="AJ253" s="12">
        <f>VLOOKUP(A253,'PreK Proxy - Sept. 2024'!$A$2:$I$674,9,FALSE)</f>
        <v>335</v>
      </c>
      <c r="AK253" s="18">
        <f t="shared" si="69"/>
        <v>0.31343283582089554</v>
      </c>
    </row>
    <row r="254" spans="1:37" x14ac:dyDescent="0.35">
      <c r="A254" s="11" t="s">
        <v>515</v>
      </c>
      <c r="B254" s="12" t="s">
        <v>516</v>
      </c>
      <c r="C254" s="54" t="s">
        <v>1418</v>
      </c>
      <c r="D254" s="54" t="s">
        <v>379</v>
      </c>
      <c r="E254" s="66">
        <f t="shared" si="55"/>
        <v>88</v>
      </c>
      <c r="F254" s="13">
        <f t="shared" si="56"/>
        <v>88</v>
      </c>
      <c r="G254" s="67">
        <f t="shared" si="57"/>
        <v>0</v>
      </c>
      <c r="H254" s="64">
        <f t="shared" si="53"/>
        <v>0</v>
      </c>
      <c r="I254" s="80">
        <v>0</v>
      </c>
      <c r="J254" s="80">
        <v>0</v>
      </c>
      <c r="K254" s="59">
        <f t="shared" si="58"/>
        <v>0</v>
      </c>
      <c r="L254" s="59">
        <v>0</v>
      </c>
      <c r="M254" s="59">
        <v>0</v>
      </c>
      <c r="N254" s="59">
        <f t="shared" si="59"/>
        <v>0</v>
      </c>
      <c r="O254" s="15">
        <f t="shared" si="60"/>
        <v>0</v>
      </c>
      <c r="P254" s="87">
        <f t="shared" si="61"/>
        <v>52</v>
      </c>
      <c r="Q254" s="110">
        <v>0</v>
      </c>
      <c r="R254" s="59">
        <v>52</v>
      </c>
      <c r="S254" s="14">
        <v>36</v>
      </c>
      <c r="T254" s="59">
        <v>0</v>
      </c>
      <c r="U254" s="15">
        <f t="shared" si="54"/>
        <v>36</v>
      </c>
      <c r="V254" s="14">
        <v>0</v>
      </c>
      <c r="W254" s="15">
        <f t="shared" si="62"/>
        <v>0</v>
      </c>
      <c r="X254" s="14">
        <v>0</v>
      </c>
      <c r="Y254" s="75">
        <v>0</v>
      </c>
      <c r="Z254" s="87">
        <f t="shared" si="63"/>
        <v>0</v>
      </c>
      <c r="AA254" s="14">
        <f t="shared" si="64"/>
        <v>0</v>
      </c>
      <c r="AB254" s="75">
        <v>0</v>
      </c>
      <c r="AC254" s="75">
        <v>0</v>
      </c>
      <c r="AD254" s="59">
        <f t="shared" si="65"/>
        <v>0</v>
      </c>
      <c r="AE254" s="73">
        <v>0</v>
      </c>
      <c r="AF254" s="73">
        <v>0</v>
      </c>
      <c r="AG254" s="15">
        <f t="shared" si="66"/>
        <v>0</v>
      </c>
      <c r="AH254" s="16">
        <f t="shared" si="67"/>
        <v>0</v>
      </c>
      <c r="AI254" s="17">
        <f t="shared" si="68"/>
        <v>88</v>
      </c>
      <c r="AJ254" s="12">
        <f>VLOOKUP(A254,'PreK Proxy - Sept. 2024'!$A$2:$I$674,9,FALSE)</f>
        <v>305</v>
      </c>
      <c r="AK254" s="18">
        <f t="shared" si="69"/>
        <v>0.28852459016393445</v>
      </c>
    </row>
    <row r="255" spans="1:37" x14ac:dyDescent="0.35">
      <c r="A255" s="11" t="s">
        <v>517</v>
      </c>
      <c r="B255" s="12" t="s">
        <v>518</v>
      </c>
      <c r="C255" s="54" t="s">
        <v>1418</v>
      </c>
      <c r="D255" s="54" t="s">
        <v>379</v>
      </c>
      <c r="E255" s="66">
        <f t="shared" si="55"/>
        <v>33</v>
      </c>
      <c r="F255" s="13">
        <f t="shared" si="56"/>
        <v>0</v>
      </c>
      <c r="G255" s="67">
        <f t="shared" si="57"/>
        <v>33</v>
      </c>
      <c r="H255" s="64">
        <f t="shared" si="53"/>
        <v>33</v>
      </c>
      <c r="I255" s="80">
        <v>0</v>
      </c>
      <c r="J255" s="80">
        <v>33</v>
      </c>
      <c r="K255" s="59">
        <f t="shared" si="58"/>
        <v>33</v>
      </c>
      <c r="L255" s="59">
        <v>0</v>
      </c>
      <c r="M255" s="59">
        <v>0</v>
      </c>
      <c r="N255" s="59">
        <f t="shared" si="59"/>
        <v>0</v>
      </c>
      <c r="O255" s="15">
        <f t="shared" si="60"/>
        <v>0</v>
      </c>
      <c r="P255" s="87">
        <f t="shared" si="61"/>
        <v>0</v>
      </c>
      <c r="Q255" s="110">
        <v>0</v>
      </c>
      <c r="R255" s="59">
        <v>0</v>
      </c>
      <c r="S255" s="14">
        <v>0</v>
      </c>
      <c r="T255" s="59">
        <v>0</v>
      </c>
      <c r="U255" s="15">
        <f t="shared" si="54"/>
        <v>0</v>
      </c>
      <c r="V255" s="14">
        <v>0</v>
      </c>
      <c r="W255" s="15">
        <f t="shared" si="62"/>
        <v>0</v>
      </c>
      <c r="X255" s="14">
        <v>0</v>
      </c>
      <c r="Y255" s="75">
        <v>0</v>
      </c>
      <c r="Z255" s="87">
        <f t="shared" si="63"/>
        <v>0</v>
      </c>
      <c r="AA255" s="14">
        <f t="shared" si="64"/>
        <v>0</v>
      </c>
      <c r="AB255" s="75">
        <v>0</v>
      </c>
      <c r="AC255" s="75">
        <v>0</v>
      </c>
      <c r="AD255" s="59">
        <f t="shared" si="65"/>
        <v>0</v>
      </c>
      <c r="AE255" s="73">
        <v>0</v>
      </c>
      <c r="AF255" s="73">
        <v>0</v>
      </c>
      <c r="AG255" s="15">
        <f t="shared" si="66"/>
        <v>0</v>
      </c>
      <c r="AH255" s="16">
        <f t="shared" si="67"/>
        <v>33</v>
      </c>
      <c r="AI255" s="17">
        <f t="shared" si="68"/>
        <v>0</v>
      </c>
      <c r="AJ255" s="12">
        <f>VLOOKUP(A255,'PreK Proxy - Sept. 2024'!$A$2:$I$674,9,FALSE)</f>
        <v>73</v>
      </c>
      <c r="AK255" s="18">
        <f t="shared" si="69"/>
        <v>0.45205479452054792</v>
      </c>
    </row>
    <row r="256" spans="1:37" x14ac:dyDescent="0.35">
      <c r="A256" s="11" t="s">
        <v>519</v>
      </c>
      <c r="B256" s="12" t="s">
        <v>520</v>
      </c>
      <c r="C256" s="54" t="s">
        <v>1418</v>
      </c>
      <c r="D256" s="54" t="s">
        <v>379</v>
      </c>
      <c r="E256" s="66">
        <f t="shared" si="55"/>
        <v>0</v>
      </c>
      <c r="F256" s="13">
        <f t="shared" si="56"/>
        <v>0</v>
      </c>
      <c r="G256" s="67">
        <f t="shared" si="57"/>
        <v>0</v>
      </c>
      <c r="H256" s="64">
        <f t="shared" si="53"/>
        <v>0</v>
      </c>
      <c r="I256" s="80">
        <v>0</v>
      </c>
      <c r="J256" s="80">
        <v>0</v>
      </c>
      <c r="K256" s="59">
        <f t="shared" si="58"/>
        <v>0</v>
      </c>
      <c r="L256" s="59">
        <v>0</v>
      </c>
      <c r="M256" s="59">
        <v>0</v>
      </c>
      <c r="N256" s="59">
        <f t="shared" si="59"/>
        <v>0</v>
      </c>
      <c r="O256" s="15">
        <f t="shared" si="60"/>
        <v>0</v>
      </c>
      <c r="P256" s="87">
        <f t="shared" si="61"/>
        <v>0</v>
      </c>
      <c r="Q256" s="110">
        <v>0</v>
      </c>
      <c r="R256" s="59">
        <v>0</v>
      </c>
      <c r="S256" s="14">
        <v>0</v>
      </c>
      <c r="T256" s="59">
        <v>0</v>
      </c>
      <c r="U256" s="15">
        <f t="shared" si="54"/>
        <v>0</v>
      </c>
      <c r="V256" s="14">
        <v>0</v>
      </c>
      <c r="W256" s="15">
        <f t="shared" si="62"/>
        <v>0</v>
      </c>
      <c r="X256" s="14">
        <v>0</v>
      </c>
      <c r="Y256" s="75">
        <v>0</v>
      </c>
      <c r="Z256" s="87">
        <f t="shared" si="63"/>
        <v>0</v>
      </c>
      <c r="AA256" s="14">
        <f t="shared" si="64"/>
        <v>0</v>
      </c>
      <c r="AB256" s="75">
        <v>0</v>
      </c>
      <c r="AC256" s="75">
        <v>0</v>
      </c>
      <c r="AD256" s="59">
        <f t="shared" si="65"/>
        <v>0</v>
      </c>
      <c r="AE256" s="73">
        <v>0</v>
      </c>
      <c r="AF256" s="73">
        <v>0</v>
      </c>
      <c r="AG256" s="15">
        <f t="shared" si="66"/>
        <v>0</v>
      </c>
      <c r="AH256" s="16">
        <f t="shared" si="67"/>
        <v>0</v>
      </c>
      <c r="AI256" s="17">
        <f t="shared" si="68"/>
        <v>0</v>
      </c>
      <c r="AJ256" s="12">
        <f>VLOOKUP(A256,'PreK Proxy - Sept. 2024'!$A$2:$I$674,9,FALSE)</f>
        <v>372</v>
      </c>
      <c r="AK256" s="18">
        <f t="shared" si="69"/>
        <v>0</v>
      </c>
    </row>
    <row r="257" spans="1:37" x14ac:dyDescent="0.35">
      <c r="A257" s="11" t="s">
        <v>521</v>
      </c>
      <c r="B257" s="12" t="s">
        <v>522</v>
      </c>
      <c r="C257" s="54" t="s">
        <v>1418</v>
      </c>
      <c r="D257" s="54" t="s">
        <v>379</v>
      </c>
      <c r="E257" s="66">
        <f t="shared" si="55"/>
        <v>72</v>
      </c>
      <c r="F257" s="13">
        <f t="shared" si="56"/>
        <v>72</v>
      </c>
      <c r="G257" s="67">
        <f t="shared" si="57"/>
        <v>0</v>
      </c>
      <c r="H257" s="64">
        <f t="shared" si="53"/>
        <v>0</v>
      </c>
      <c r="I257" s="80">
        <v>0</v>
      </c>
      <c r="J257" s="80">
        <v>0</v>
      </c>
      <c r="K257" s="59">
        <f t="shared" si="58"/>
        <v>0</v>
      </c>
      <c r="L257" s="59">
        <v>0</v>
      </c>
      <c r="M257" s="59">
        <v>0</v>
      </c>
      <c r="N257" s="59">
        <f t="shared" si="59"/>
        <v>0</v>
      </c>
      <c r="O257" s="15">
        <f t="shared" si="60"/>
        <v>0</v>
      </c>
      <c r="P257" s="87">
        <f t="shared" si="61"/>
        <v>72</v>
      </c>
      <c r="Q257" s="110">
        <v>0</v>
      </c>
      <c r="R257" s="59">
        <v>72</v>
      </c>
      <c r="S257" s="14">
        <v>0</v>
      </c>
      <c r="T257" s="59">
        <v>0</v>
      </c>
      <c r="U257" s="15">
        <f t="shared" si="54"/>
        <v>0</v>
      </c>
      <c r="V257" s="14">
        <v>0</v>
      </c>
      <c r="W257" s="15">
        <f t="shared" si="62"/>
        <v>0</v>
      </c>
      <c r="X257" s="14">
        <v>0</v>
      </c>
      <c r="Y257" s="75">
        <v>0</v>
      </c>
      <c r="Z257" s="87">
        <f t="shared" si="63"/>
        <v>0</v>
      </c>
      <c r="AA257" s="14">
        <f t="shared" si="64"/>
        <v>0</v>
      </c>
      <c r="AB257" s="75">
        <v>0</v>
      </c>
      <c r="AC257" s="75">
        <v>0</v>
      </c>
      <c r="AD257" s="59">
        <f t="shared" si="65"/>
        <v>0</v>
      </c>
      <c r="AE257" s="73">
        <v>0</v>
      </c>
      <c r="AF257" s="73">
        <v>0</v>
      </c>
      <c r="AG257" s="15">
        <f t="shared" si="66"/>
        <v>0</v>
      </c>
      <c r="AH257" s="16">
        <f t="shared" si="67"/>
        <v>0</v>
      </c>
      <c r="AI257" s="17">
        <f t="shared" si="68"/>
        <v>72</v>
      </c>
      <c r="AJ257" s="12">
        <f>VLOOKUP(A257,'PreK Proxy - Sept. 2024'!$A$2:$I$674,9,FALSE)</f>
        <v>222</v>
      </c>
      <c r="AK257" s="18">
        <f t="shared" si="69"/>
        <v>0.32432432432432434</v>
      </c>
    </row>
    <row r="258" spans="1:37" x14ac:dyDescent="0.35">
      <c r="A258" s="11" t="s">
        <v>523</v>
      </c>
      <c r="B258" s="12" t="s">
        <v>524</v>
      </c>
      <c r="C258" s="54" t="s">
        <v>1418</v>
      </c>
      <c r="D258" s="54" t="s">
        <v>379</v>
      </c>
      <c r="E258" s="66">
        <f t="shared" si="55"/>
        <v>2819</v>
      </c>
      <c r="F258" s="13">
        <f t="shared" si="56"/>
        <v>2630</v>
      </c>
      <c r="G258" s="67">
        <f t="shared" si="57"/>
        <v>189</v>
      </c>
      <c r="H258" s="64">
        <f t="shared" si="53"/>
        <v>2807</v>
      </c>
      <c r="I258" s="80">
        <v>99</v>
      </c>
      <c r="J258" s="80">
        <v>90</v>
      </c>
      <c r="K258" s="59">
        <f t="shared" si="58"/>
        <v>189</v>
      </c>
      <c r="L258" s="59">
        <v>1070</v>
      </c>
      <c r="M258" s="59">
        <v>1548</v>
      </c>
      <c r="N258" s="59">
        <f t="shared" si="59"/>
        <v>2618</v>
      </c>
      <c r="O258" s="15">
        <f t="shared" si="60"/>
        <v>0</v>
      </c>
      <c r="P258" s="87">
        <f t="shared" si="61"/>
        <v>0</v>
      </c>
      <c r="Q258" s="110">
        <v>0</v>
      </c>
      <c r="R258" s="59">
        <v>0</v>
      </c>
      <c r="S258" s="14">
        <v>12</v>
      </c>
      <c r="T258" s="59">
        <v>0</v>
      </c>
      <c r="U258" s="15">
        <f t="shared" si="54"/>
        <v>12</v>
      </c>
      <c r="V258" s="14">
        <v>0</v>
      </c>
      <c r="W258" s="15">
        <f t="shared" si="62"/>
        <v>0</v>
      </c>
      <c r="X258" s="14">
        <v>0</v>
      </c>
      <c r="Y258" s="75">
        <v>0</v>
      </c>
      <c r="Z258" s="87">
        <f t="shared" si="63"/>
        <v>0</v>
      </c>
      <c r="AA258" s="14">
        <f t="shared" si="64"/>
        <v>0</v>
      </c>
      <c r="AB258" s="75">
        <v>0</v>
      </c>
      <c r="AC258" s="75">
        <v>0</v>
      </c>
      <c r="AD258" s="59">
        <f t="shared" si="65"/>
        <v>0</v>
      </c>
      <c r="AE258" s="73">
        <v>0</v>
      </c>
      <c r="AF258" s="73">
        <v>0</v>
      </c>
      <c r="AG258" s="15">
        <f t="shared" si="66"/>
        <v>0</v>
      </c>
      <c r="AH258" s="16">
        <f t="shared" si="67"/>
        <v>90</v>
      </c>
      <c r="AI258" s="17">
        <f t="shared" si="68"/>
        <v>1560</v>
      </c>
      <c r="AJ258" s="12">
        <f>VLOOKUP(A258,'PreK Proxy - Sept. 2024'!$A$2:$I$674,9,FALSE)</f>
        <v>1855</v>
      </c>
      <c r="AK258" s="18">
        <f t="shared" si="69"/>
        <v>0.88948787061994605</v>
      </c>
    </row>
    <row r="259" spans="1:37" x14ac:dyDescent="0.35">
      <c r="A259" s="11" t="s">
        <v>525</v>
      </c>
      <c r="B259" s="12" t="s">
        <v>526</v>
      </c>
      <c r="C259" s="54" t="s">
        <v>1418</v>
      </c>
      <c r="D259" s="54" t="s">
        <v>379</v>
      </c>
      <c r="E259" s="66">
        <f t="shared" si="55"/>
        <v>241</v>
      </c>
      <c r="F259" s="13">
        <f t="shared" si="56"/>
        <v>183</v>
      </c>
      <c r="G259" s="67">
        <f t="shared" si="57"/>
        <v>58</v>
      </c>
      <c r="H259" s="64">
        <f t="shared" ref="H259:H322" si="70">K259+N259</f>
        <v>141</v>
      </c>
      <c r="I259" s="80">
        <v>0</v>
      </c>
      <c r="J259" s="80">
        <v>58</v>
      </c>
      <c r="K259" s="59">
        <f t="shared" si="58"/>
        <v>58</v>
      </c>
      <c r="L259" s="59">
        <v>0</v>
      </c>
      <c r="M259" s="59">
        <v>83</v>
      </c>
      <c r="N259" s="59">
        <f t="shared" si="59"/>
        <v>83</v>
      </c>
      <c r="O259" s="15">
        <f t="shared" si="60"/>
        <v>0</v>
      </c>
      <c r="P259" s="87">
        <f t="shared" si="61"/>
        <v>0</v>
      </c>
      <c r="Q259" s="110">
        <v>0</v>
      </c>
      <c r="R259" s="59">
        <v>0</v>
      </c>
      <c r="S259" s="14">
        <v>0</v>
      </c>
      <c r="T259" s="59">
        <v>0</v>
      </c>
      <c r="U259" s="15">
        <f t="shared" si="54"/>
        <v>0</v>
      </c>
      <c r="V259" s="14">
        <v>100</v>
      </c>
      <c r="W259" s="15">
        <f t="shared" si="62"/>
        <v>100</v>
      </c>
      <c r="X259" s="14">
        <v>0</v>
      </c>
      <c r="Y259" s="75">
        <v>0</v>
      </c>
      <c r="Z259" s="87">
        <f t="shared" si="63"/>
        <v>0</v>
      </c>
      <c r="AA259" s="14">
        <f t="shared" si="64"/>
        <v>0</v>
      </c>
      <c r="AB259" s="75">
        <v>0</v>
      </c>
      <c r="AC259" s="75">
        <v>0</v>
      </c>
      <c r="AD259" s="59">
        <f t="shared" si="65"/>
        <v>0</v>
      </c>
      <c r="AE259" s="73">
        <v>0</v>
      </c>
      <c r="AF259" s="73">
        <v>0</v>
      </c>
      <c r="AG259" s="15">
        <f t="shared" si="66"/>
        <v>0</v>
      </c>
      <c r="AH259" s="16">
        <f t="shared" si="67"/>
        <v>58</v>
      </c>
      <c r="AI259" s="17">
        <f t="shared" si="68"/>
        <v>183</v>
      </c>
      <c r="AJ259" s="12">
        <f>VLOOKUP(A259,'PreK Proxy - Sept. 2024'!$A$2:$I$674,9,FALSE)</f>
        <v>321</v>
      </c>
      <c r="AK259" s="18">
        <f t="shared" si="69"/>
        <v>0.75077881619937692</v>
      </c>
    </row>
    <row r="260" spans="1:37" x14ac:dyDescent="0.35">
      <c r="A260" s="11" t="s">
        <v>527</v>
      </c>
      <c r="B260" s="12" t="s">
        <v>528</v>
      </c>
      <c r="C260" s="54" t="s">
        <v>1418</v>
      </c>
      <c r="D260" s="54" t="s">
        <v>379</v>
      </c>
      <c r="E260" s="66">
        <f t="shared" si="55"/>
        <v>153</v>
      </c>
      <c r="F260" s="13">
        <f t="shared" si="56"/>
        <v>101</v>
      </c>
      <c r="G260" s="67">
        <f t="shared" si="57"/>
        <v>52</v>
      </c>
      <c r="H260" s="64">
        <f t="shared" si="70"/>
        <v>153</v>
      </c>
      <c r="I260" s="80">
        <v>0</v>
      </c>
      <c r="J260" s="80">
        <v>52</v>
      </c>
      <c r="K260" s="59">
        <f t="shared" si="58"/>
        <v>52</v>
      </c>
      <c r="L260" s="59">
        <v>0</v>
      </c>
      <c r="M260" s="59">
        <v>101</v>
      </c>
      <c r="N260" s="59">
        <f t="shared" si="59"/>
        <v>101</v>
      </c>
      <c r="O260" s="15">
        <f t="shared" si="60"/>
        <v>0</v>
      </c>
      <c r="P260" s="87">
        <f t="shared" si="61"/>
        <v>0</v>
      </c>
      <c r="Q260" s="110">
        <v>0</v>
      </c>
      <c r="R260" s="59">
        <v>0</v>
      </c>
      <c r="S260" s="14">
        <v>0</v>
      </c>
      <c r="T260" s="59">
        <v>0</v>
      </c>
      <c r="U260" s="15">
        <f t="shared" ref="U260:U323" si="71">S260+T260</f>
        <v>0</v>
      </c>
      <c r="V260" s="14">
        <v>0</v>
      </c>
      <c r="W260" s="15">
        <f t="shared" si="62"/>
        <v>0</v>
      </c>
      <c r="X260" s="14">
        <v>0</v>
      </c>
      <c r="Y260" s="75">
        <v>0</v>
      </c>
      <c r="Z260" s="87">
        <f t="shared" si="63"/>
        <v>0</v>
      </c>
      <c r="AA260" s="14">
        <f t="shared" si="64"/>
        <v>0</v>
      </c>
      <c r="AB260" s="75">
        <v>0</v>
      </c>
      <c r="AC260" s="75">
        <v>0</v>
      </c>
      <c r="AD260" s="59">
        <f t="shared" si="65"/>
        <v>0</v>
      </c>
      <c r="AE260" s="73">
        <v>0</v>
      </c>
      <c r="AF260" s="73">
        <v>0</v>
      </c>
      <c r="AG260" s="15">
        <f t="shared" si="66"/>
        <v>0</v>
      </c>
      <c r="AH260" s="16">
        <f t="shared" si="67"/>
        <v>52</v>
      </c>
      <c r="AI260" s="17">
        <f t="shared" si="68"/>
        <v>101</v>
      </c>
      <c r="AJ260" s="12">
        <f>VLOOKUP(A260,'PreK Proxy - Sept. 2024'!$A$2:$I$674,9,FALSE)</f>
        <v>186</v>
      </c>
      <c r="AK260" s="18">
        <f t="shared" si="69"/>
        <v>0.82258064516129037</v>
      </c>
    </row>
    <row r="261" spans="1:37" x14ac:dyDescent="0.35">
      <c r="A261" s="11" t="s">
        <v>529</v>
      </c>
      <c r="B261" s="12" t="s">
        <v>530</v>
      </c>
      <c r="C261" s="54" t="s">
        <v>1418</v>
      </c>
      <c r="D261" s="54" t="s">
        <v>379</v>
      </c>
      <c r="E261" s="66">
        <f t="shared" ref="E261:E324" si="72">F261+G261</f>
        <v>336</v>
      </c>
      <c r="F261" s="13">
        <f t="shared" ref="F261:F324" si="73">N261+R261+S261+V261+X261+AG261</f>
        <v>300</v>
      </c>
      <c r="G261" s="67">
        <f t="shared" ref="G261:G324" si="74">K261+Q261+AD261</f>
        <v>36</v>
      </c>
      <c r="H261" s="64">
        <f t="shared" si="70"/>
        <v>259</v>
      </c>
      <c r="I261" s="80">
        <v>0</v>
      </c>
      <c r="J261" s="80">
        <v>35</v>
      </c>
      <c r="K261" s="59">
        <f t="shared" ref="K261:K324" si="75">I261+J261</f>
        <v>35</v>
      </c>
      <c r="L261" s="59">
        <v>0</v>
      </c>
      <c r="M261" s="59">
        <v>224</v>
      </c>
      <c r="N261" s="59">
        <f t="shared" ref="N261:N324" si="76">L261+M261</f>
        <v>224</v>
      </c>
      <c r="O261" s="15">
        <f t="shared" ref="O261:O324" si="77">T261+Y261</f>
        <v>0</v>
      </c>
      <c r="P261" s="87">
        <f t="shared" ref="P261:P324" si="78">Q261+R261</f>
        <v>77</v>
      </c>
      <c r="Q261" s="110">
        <v>1</v>
      </c>
      <c r="R261" s="59">
        <v>76</v>
      </c>
      <c r="S261" s="14">
        <v>0</v>
      </c>
      <c r="T261" s="59">
        <v>0</v>
      </c>
      <c r="U261" s="15">
        <f t="shared" si="71"/>
        <v>0</v>
      </c>
      <c r="V261" s="14">
        <v>0</v>
      </c>
      <c r="W261" s="15">
        <f t="shared" ref="W261:W324" si="79">V261</f>
        <v>0</v>
      </c>
      <c r="X261" s="14">
        <v>0</v>
      </c>
      <c r="Y261" s="75">
        <v>0</v>
      </c>
      <c r="Z261" s="87">
        <f t="shared" ref="Z261:Z324" si="80">X261+Y261</f>
        <v>0</v>
      </c>
      <c r="AA261" s="14">
        <f t="shared" ref="AA261:AA324" si="81">AD261+AG261</f>
        <v>0</v>
      </c>
      <c r="AB261" s="75">
        <v>0</v>
      </c>
      <c r="AC261" s="75">
        <v>0</v>
      </c>
      <c r="AD261" s="59">
        <f t="shared" ref="AD261:AD324" si="82">AB261+AC261</f>
        <v>0</v>
      </c>
      <c r="AE261" s="73">
        <v>0</v>
      </c>
      <c r="AF261" s="73">
        <v>0</v>
      </c>
      <c r="AG261" s="15">
        <f t="shared" ref="AG261:AG324" si="83">AE261+AF261</f>
        <v>0</v>
      </c>
      <c r="AH261" s="16">
        <f t="shared" ref="AH261:AH324" si="84">J261+Q261+AC261</f>
        <v>36</v>
      </c>
      <c r="AI261" s="17">
        <f t="shared" ref="AI261:AI324" si="85">M261+R261+S261+V261+X261+AF261</f>
        <v>300</v>
      </c>
      <c r="AJ261" s="12">
        <f>VLOOKUP(A261,'PreK Proxy - Sept. 2024'!$A$2:$I$674,9,FALSE)</f>
        <v>511</v>
      </c>
      <c r="AK261" s="18">
        <f t="shared" ref="AK261:AK324" si="86">IFERROR(MIN(100%,((AI261+AH261)/AJ261)),0)</f>
        <v>0.65753424657534243</v>
      </c>
    </row>
    <row r="262" spans="1:37" x14ac:dyDescent="0.35">
      <c r="A262" s="11" t="s">
        <v>531</v>
      </c>
      <c r="B262" s="12" t="s">
        <v>532</v>
      </c>
      <c r="C262" s="54" t="s">
        <v>1418</v>
      </c>
      <c r="D262" s="54" t="s">
        <v>379</v>
      </c>
      <c r="E262" s="66">
        <f t="shared" si="72"/>
        <v>27</v>
      </c>
      <c r="F262" s="13">
        <f t="shared" si="73"/>
        <v>0</v>
      </c>
      <c r="G262" s="67">
        <f t="shared" si="74"/>
        <v>27</v>
      </c>
      <c r="H262" s="64">
        <f t="shared" si="70"/>
        <v>27</v>
      </c>
      <c r="I262" s="80">
        <v>0</v>
      </c>
      <c r="J262" s="80">
        <v>27</v>
      </c>
      <c r="K262" s="59">
        <f t="shared" si="75"/>
        <v>27</v>
      </c>
      <c r="L262" s="59">
        <v>0</v>
      </c>
      <c r="M262" s="59">
        <v>0</v>
      </c>
      <c r="N262" s="59">
        <f t="shared" si="76"/>
        <v>0</v>
      </c>
      <c r="O262" s="15">
        <f t="shared" si="77"/>
        <v>0</v>
      </c>
      <c r="P262" s="87">
        <f t="shared" si="78"/>
        <v>0</v>
      </c>
      <c r="Q262" s="110">
        <v>0</v>
      </c>
      <c r="R262" s="59">
        <v>0</v>
      </c>
      <c r="S262" s="14">
        <v>0</v>
      </c>
      <c r="T262" s="59">
        <v>0</v>
      </c>
      <c r="U262" s="15">
        <f t="shared" si="71"/>
        <v>0</v>
      </c>
      <c r="V262" s="14">
        <v>0</v>
      </c>
      <c r="W262" s="15">
        <f t="shared" si="79"/>
        <v>0</v>
      </c>
      <c r="X262" s="14">
        <v>0</v>
      </c>
      <c r="Y262" s="75">
        <v>0</v>
      </c>
      <c r="Z262" s="87">
        <f t="shared" si="80"/>
        <v>0</v>
      </c>
      <c r="AA262" s="14">
        <f t="shared" si="81"/>
        <v>0</v>
      </c>
      <c r="AB262" s="75">
        <v>0</v>
      </c>
      <c r="AC262" s="75">
        <v>0</v>
      </c>
      <c r="AD262" s="59">
        <f t="shared" si="82"/>
        <v>0</v>
      </c>
      <c r="AE262" s="73">
        <v>0</v>
      </c>
      <c r="AF262" s="73">
        <v>0</v>
      </c>
      <c r="AG262" s="15">
        <f t="shared" si="83"/>
        <v>0</v>
      </c>
      <c r="AH262" s="16">
        <f t="shared" si="84"/>
        <v>27</v>
      </c>
      <c r="AI262" s="17">
        <f t="shared" si="85"/>
        <v>0</v>
      </c>
      <c r="AJ262" s="12">
        <f>VLOOKUP(A262,'PreK Proxy - Sept. 2024'!$A$2:$I$674,9,FALSE)</f>
        <v>45</v>
      </c>
      <c r="AK262" s="18">
        <f t="shared" si="86"/>
        <v>0.6</v>
      </c>
    </row>
    <row r="263" spans="1:37" x14ac:dyDescent="0.35">
      <c r="A263" s="11" t="s">
        <v>533</v>
      </c>
      <c r="B263" s="12" t="s">
        <v>534</v>
      </c>
      <c r="C263" s="54" t="s">
        <v>1450</v>
      </c>
      <c r="D263" s="54" t="s">
        <v>366</v>
      </c>
      <c r="E263" s="66">
        <f t="shared" si="72"/>
        <v>213</v>
      </c>
      <c r="F263" s="13">
        <f t="shared" si="73"/>
        <v>213</v>
      </c>
      <c r="G263" s="67">
        <f t="shared" si="74"/>
        <v>0</v>
      </c>
      <c r="H263" s="64">
        <f t="shared" si="70"/>
        <v>169</v>
      </c>
      <c r="I263" s="80">
        <v>0</v>
      </c>
      <c r="J263" s="80">
        <v>0</v>
      </c>
      <c r="K263" s="59">
        <f t="shared" si="75"/>
        <v>0</v>
      </c>
      <c r="L263" s="59">
        <v>62</v>
      </c>
      <c r="M263" s="59">
        <v>107</v>
      </c>
      <c r="N263" s="59">
        <f t="shared" si="76"/>
        <v>169</v>
      </c>
      <c r="O263" s="15">
        <f t="shared" si="77"/>
        <v>72</v>
      </c>
      <c r="P263" s="87">
        <f t="shared" si="78"/>
        <v>0</v>
      </c>
      <c r="Q263" s="110">
        <v>0</v>
      </c>
      <c r="R263" s="59">
        <v>0</v>
      </c>
      <c r="S263" s="14">
        <v>44</v>
      </c>
      <c r="T263" s="59">
        <v>72</v>
      </c>
      <c r="U263" s="15">
        <f t="shared" si="71"/>
        <v>116</v>
      </c>
      <c r="V263" s="14">
        <v>0</v>
      </c>
      <c r="W263" s="15">
        <f t="shared" si="79"/>
        <v>0</v>
      </c>
      <c r="X263" s="14">
        <v>0</v>
      </c>
      <c r="Y263" s="75">
        <v>0</v>
      </c>
      <c r="Z263" s="87">
        <f t="shared" si="80"/>
        <v>0</v>
      </c>
      <c r="AA263" s="14">
        <f t="shared" si="81"/>
        <v>0</v>
      </c>
      <c r="AB263" s="75">
        <v>0</v>
      </c>
      <c r="AC263" s="75">
        <v>0</v>
      </c>
      <c r="AD263" s="59">
        <f t="shared" si="82"/>
        <v>0</v>
      </c>
      <c r="AE263" s="73">
        <v>0</v>
      </c>
      <c r="AF263" s="73">
        <v>0</v>
      </c>
      <c r="AG263" s="15">
        <f t="shared" si="83"/>
        <v>0</v>
      </c>
      <c r="AH263" s="16">
        <f t="shared" si="84"/>
        <v>0</v>
      </c>
      <c r="AI263" s="17">
        <f t="shared" si="85"/>
        <v>151</v>
      </c>
      <c r="AJ263" s="12">
        <f>VLOOKUP(A263,'PreK Proxy - Sept. 2024'!$A$2:$I$674,9,FALSE)</f>
        <v>218</v>
      </c>
      <c r="AK263" s="18">
        <f t="shared" si="86"/>
        <v>0.69266055045871555</v>
      </c>
    </row>
    <row r="264" spans="1:37" x14ac:dyDescent="0.35">
      <c r="A264" s="11" t="s">
        <v>535</v>
      </c>
      <c r="B264" s="12" t="s">
        <v>536</v>
      </c>
      <c r="C264" s="54" t="s">
        <v>1450</v>
      </c>
      <c r="D264" s="54" t="s">
        <v>366</v>
      </c>
      <c r="E264" s="66">
        <f t="shared" si="72"/>
        <v>51</v>
      </c>
      <c r="F264" s="13">
        <f t="shared" si="73"/>
        <v>51</v>
      </c>
      <c r="G264" s="67">
        <f t="shared" si="74"/>
        <v>0</v>
      </c>
      <c r="H264" s="64">
        <f t="shared" si="70"/>
        <v>42</v>
      </c>
      <c r="I264" s="80">
        <v>0</v>
      </c>
      <c r="J264" s="80">
        <v>0</v>
      </c>
      <c r="K264" s="59">
        <f t="shared" si="75"/>
        <v>0</v>
      </c>
      <c r="L264" s="59">
        <v>15</v>
      </c>
      <c r="M264" s="59">
        <v>27</v>
      </c>
      <c r="N264" s="59">
        <f t="shared" si="76"/>
        <v>42</v>
      </c>
      <c r="O264" s="15">
        <f t="shared" si="77"/>
        <v>0</v>
      </c>
      <c r="P264" s="87">
        <f t="shared" si="78"/>
        <v>0</v>
      </c>
      <c r="Q264" s="110">
        <v>0</v>
      </c>
      <c r="R264" s="59">
        <v>0</v>
      </c>
      <c r="S264" s="14">
        <v>0</v>
      </c>
      <c r="T264" s="59">
        <v>0</v>
      </c>
      <c r="U264" s="15">
        <f t="shared" si="71"/>
        <v>0</v>
      </c>
      <c r="V264" s="14">
        <v>0</v>
      </c>
      <c r="W264" s="15">
        <f t="shared" si="79"/>
        <v>0</v>
      </c>
      <c r="X264" s="14">
        <v>9</v>
      </c>
      <c r="Y264" s="75">
        <v>0</v>
      </c>
      <c r="Z264" s="87">
        <f t="shared" si="80"/>
        <v>9</v>
      </c>
      <c r="AA264" s="14">
        <f t="shared" si="81"/>
        <v>0</v>
      </c>
      <c r="AB264" s="75">
        <v>0</v>
      </c>
      <c r="AC264" s="75">
        <v>0</v>
      </c>
      <c r="AD264" s="59">
        <f t="shared" si="82"/>
        <v>0</v>
      </c>
      <c r="AE264" s="73">
        <v>0</v>
      </c>
      <c r="AF264" s="73">
        <v>0</v>
      </c>
      <c r="AG264" s="15">
        <f t="shared" si="83"/>
        <v>0</v>
      </c>
      <c r="AH264" s="16">
        <f t="shared" si="84"/>
        <v>0</v>
      </c>
      <c r="AI264" s="17">
        <f t="shared" si="85"/>
        <v>36</v>
      </c>
      <c r="AJ264" s="12">
        <f>VLOOKUP(A264,'PreK Proxy - Sept. 2024'!$A$2:$I$674,9,FALSE)</f>
        <v>45</v>
      </c>
      <c r="AK264" s="18">
        <f t="shared" si="86"/>
        <v>0.8</v>
      </c>
    </row>
    <row r="265" spans="1:37" x14ac:dyDescent="0.35">
      <c r="A265" s="11" t="s">
        <v>537</v>
      </c>
      <c r="B265" s="12" t="s">
        <v>538</v>
      </c>
      <c r="C265" s="54" t="s">
        <v>1450</v>
      </c>
      <c r="D265" s="54" t="s">
        <v>366</v>
      </c>
      <c r="E265" s="66">
        <f t="shared" si="72"/>
        <v>55</v>
      </c>
      <c r="F265" s="13">
        <f t="shared" si="73"/>
        <v>55</v>
      </c>
      <c r="G265" s="67">
        <f t="shared" si="74"/>
        <v>0</v>
      </c>
      <c r="H265" s="64">
        <f t="shared" si="70"/>
        <v>52</v>
      </c>
      <c r="I265" s="80">
        <v>0</v>
      </c>
      <c r="J265" s="80">
        <v>0</v>
      </c>
      <c r="K265" s="59">
        <f t="shared" si="75"/>
        <v>0</v>
      </c>
      <c r="L265" s="59">
        <v>0</v>
      </c>
      <c r="M265" s="59">
        <v>52</v>
      </c>
      <c r="N265" s="59">
        <f t="shared" si="76"/>
        <v>52</v>
      </c>
      <c r="O265" s="15">
        <f t="shared" si="77"/>
        <v>0</v>
      </c>
      <c r="P265" s="87">
        <f t="shared" si="78"/>
        <v>0</v>
      </c>
      <c r="Q265" s="110">
        <v>0</v>
      </c>
      <c r="R265" s="59">
        <v>0</v>
      </c>
      <c r="S265" s="14">
        <v>0</v>
      </c>
      <c r="T265" s="59">
        <v>0</v>
      </c>
      <c r="U265" s="15">
        <f t="shared" si="71"/>
        <v>0</v>
      </c>
      <c r="V265" s="14">
        <v>3</v>
      </c>
      <c r="W265" s="15">
        <f t="shared" si="79"/>
        <v>3</v>
      </c>
      <c r="X265" s="14">
        <v>0</v>
      </c>
      <c r="Y265" s="75">
        <v>0</v>
      </c>
      <c r="Z265" s="87">
        <f t="shared" si="80"/>
        <v>0</v>
      </c>
      <c r="AA265" s="14">
        <f t="shared" si="81"/>
        <v>0</v>
      </c>
      <c r="AB265" s="75">
        <v>0</v>
      </c>
      <c r="AC265" s="75">
        <v>0</v>
      </c>
      <c r="AD265" s="59">
        <f t="shared" si="82"/>
        <v>0</v>
      </c>
      <c r="AE265" s="73">
        <v>0</v>
      </c>
      <c r="AF265" s="73">
        <v>0</v>
      </c>
      <c r="AG265" s="15">
        <f t="shared" si="83"/>
        <v>0</v>
      </c>
      <c r="AH265" s="16">
        <f t="shared" si="84"/>
        <v>0</v>
      </c>
      <c r="AI265" s="17">
        <f t="shared" si="85"/>
        <v>55</v>
      </c>
      <c r="AJ265" s="12">
        <f>VLOOKUP(A265,'PreK Proxy - Sept. 2024'!$A$2:$I$674,9,FALSE)</f>
        <v>77</v>
      </c>
      <c r="AK265" s="18">
        <f t="shared" si="86"/>
        <v>0.7142857142857143</v>
      </c>
    </row>
    <row r="266" spans="1:37" x14ac:dyDescent="0.35">
      <c r="A266" s="11" t="s">
        <v>539</v>
      </c>
      <c r="B266" s="12" t="s">
        <v>540</v>
      </c>
      <c r="C266" s="54" t="s">
        <v>1450</v>
      </c>
      <c r="D266" s="54" t="s">
        <v>366</v>
      </c>
      <c r="E266" s="66">
        <f t="shared" si="72"/>
        <v>35</v>
      </c>
      <c r="F266" s="13">
        <f t="shared" si="73"/>
        <v>35</v>
      </c>
      <c r="G266" s="67">
        <f t="shared" si="74"/>
        <v>0</v>
      </c>
      <c r="H266" s="64">
        <f t="shared" si="70"/>
        <v>10</v>
      </c>
      <c r="I266" s="80">
        <v>0</v>
      </c>
      <c r="J266" s="80">
        <v>0</v>
      </c>
      <c r="K266" s="59">
        <f t="shared" si="75"/>
        <v>0</v>
      </c>
      <c r="L266" s="59">
        <v>0</v>
      </c>
      <c r="M266" s="59">
        <v>10</v>
      </c>
      <c r="N266" s="59">
        <f t="shared" si="76"/>
        <v>10</v>
      </c>
      <c r="O266" s="15">
        <f t="shared" si="77"/>
        <v>0</v>
      </c>
      <c r="P266" s="87">
        <f t="shared" si="78"/>
        <v>0</v>
      </c>
      <c r="Q266" s="110">
        <v>0</v>
      </c>
      <c r="R266" s="59">
        <v>0</v>
      </c>
      <c r="S266" s="14">
        <v>25</v>
      </c>
      <c r="T266" s="59">
        <v>0</v>
      </c>
      <c r="U266" s="15">
        <f t="shared" si="71"/>
        <v>25</v>
      </c>
      <c r="V266" s="14">
        <v>0</v>
      </c>
      <c r="W266" s="15">
        <f t="shared" si="79"/>
        <v>0</v>
      </c>
      <c r="X266" s="14">
        <v>0</v>
      </c>
      <c r="Y266" s="75">
        <v>0</v>
      </c>
      <c r="Z266" s="87">
        <f t="shared" si="80"/>
        <v>0</v>
      </c>
      <c r="AA266" s="14">
        <f t="shared" si="81"/>
        <v>0</v>
      </c>
      <c r="AB266" s="75">
        <v>0</v>
      </c>
      <c r="AC266" s="75">
        <v>0</v>
      </c>
      <c r="AD266" s="59">
        <f t="shared" si="82"/>
        <v>0</v>
      </c>
      <c r="AE266" s="73">
        <v>0</v>
      </c>
      <c r="AF266" s="73">
        <v>0</v>
      </c>
      <c r="AG266" s="15">
        <f t="shared" si="83"/>
        <v>0</v>
      </c>
      <c r="AH266" s="16">
        <f t="shared" si="84"/>
        <v>0</v>
      </c>
      <c r="AI266" s="17">
        <f t="shared" si="85"/>
        <v>35</v>
      </c>
      <c r="AJ266" s="12">
        <f>VLOOKUP(A266,'PreK Proxy - Sept. 2024'!$A$2:$I$674,9,FALSE)</f>
        <v>36</v>
      </c>
      <c r="AK266" s="18">
        <f t="shared" si="86"/>
        <v>0.97222222222222221</v>
      </c>
    </row>
    <row r="267" spans="1:37" x14ac:dyDescent="0.35">
      <c r="A267" s="11" t="s">
        <v>541</v>
      </c>
      <c r="B267" s="12" t="s">
        <v>542</v>
      </c>
      <c r="C267" s="54" t="s">
        <v>1450</v>
      </c>
      <c r="D267" s="54" t="s">
        <v>366</v>
      </c>
      <c r="E267" s="66">
        <f t="shared" si="72"/>
        <v>33</v>
      </c>
      <c r="F267" s="13">
        <f t="shared" si="73"/>
        <v>33</v>
      </c>
      <c r="G267" s="67">
        <f t="shared" si="74"/>
        <v>0</v>
      </c>
      <c r="H267" s="64">
        <f t="shared" si="70"/>
        <v>33</v>
      </c>
      <c r="I267" s="80">
        <v>0</v>
      </c>
      <c r="J267" s="80">
        <v>0</v>
      </c>
      <c r="K267" s="59">
        <f t="shared" si="75"/>
        <v>0</v>
      </c>
      <c r="L267" s="59">
        <v>0</v>
      </c>
      <c r="M267" s="59">
        <v>33</v>
      </c>
      <c r="N267" s="59">
        <f t="shared" si="76"/>
        <v>33</v>
      </c>
      <c r="O267" s="15">
        <f t="shared" si="77"/>
        <v>0</v>
      </c>
      <c r="P267" s="87">
        <f t="shared" si="78"/>
        <v>0</v>
      </c>
      <c r="Q267" s="110">
        <v>0</v>
      </c>
      <c r="R267" s="59">
        <v>0</v>
      </c>
      <c r="S267" s="14">
        <v>0</v>
      </c>
      <c r="T267" s="59">
        <v>0</v>
      </c>
      <c r="U267" s="15">
        <f t="shared" si="71"/>
        <v>0</v>
      </c>
      <c r="V267" s="14">
        <v>0</v>
      </c>
      <c r="W267" s="15">
        <f t="shared" si="79"/>
        <v>0</v>
      </c>
      <c r="X267" s="14">
        <v>0</v>
      </c>
      <c r="Y267" s="75">
        <v>0</v>
      </c>
      <c r="Z267" s="87">
        <f t="shared" si="80"/>
        <v>0</v>
      </c>
      <c r="AA267" s="14">
        <f t="shared" si="81"/>
        <v>0</v>
      </c>
      <c r="AB267" s="75">
        <v>0</v>
      </c>
      <c r="AC267" s="75">
        <v>0</v>
      </c>
      <c r="AD267" s="59">
        <f t="shared" si="82"/>
        <v>0</v>
      </c>
      <c r="AE267" s="73">
        <v>0</v>
      </c>
      <c r="AF267" s="73">
        <v>0</v>
      </c>
      <c r="AG267" s="15">
        <f t="shared" si="83"/>
        <v>0</v>
      </c>
      <c r="AH267" s="16">
        <f t="shared" si="84"/>
        <v>0</v>
      </c>
      <c r="AI267" s="17">
        <f t="shared" si="85"/>
        <v>33</v>
      </c>
      <c r="AJ267" s="12">
        <f>VLOOKUP(A267,'PreK Proxy - Sept. 2024'!$A$2:$I$674,9,FALSE)</f>
        <v>37</v>
      </c>
      <c r="AK267" s="18">
        <f t="shared" si="86"/>
        <v>0.89189189189189189</v>
      </c>
    </row>
    <row r="268" spans="1:37" x14ac:dyDescent="0.35">
      <c r="A268" s="11" t="s">
        <v>543</v>
      </c>
      <c r="B268" s="12" t="s">
        <v>544</v>
      </c>
      <c r="C268" s="54" t="s">
        <v>1417</v>
      </c>
      <c r="D268" s="54" t="s">
        <v>545</v>
      </c>
      <c r="E268" s="66">
        <f t="shared" si="72"/>
        <v>127</v>
      </c>
      <c r="F268" s="13">
        <f t="shared" si="73"/>
        <v>127</v>
      </c>
      <c r="G268" s="67">
        <f t="shared" si="74"/>
        <v>0</v>
      </c>
      <c r="H268" s="64">
        <f t="shared" si="70"/>
        <v>58</v>
      </c>
      <c r="I268" s="80">
        <v>0</v>
      </c>
      <c r="J268" s="80">
        <v>0</v>
      </c>
      <c r="K268" s="59">
        <f t="shared" si="75"/>
        <v>0</v>
      </c>
      <c r="L268" s="59">
        <v>0</v>
      </c>
      <c r="M268" s="59">
        <v>58</v>
      </c>
      <c r="N268" s="59">
        <f t="shared" si="76"/>
        <v>58</v>
      </c>
      <c r="O268" s="15">
        <f t="shared" si="77"/>
        <v>0</v>
      </c>
      <c r="P268" s="87">
        <f t="shared" si="78"/>
        <v>0</v>
      </c>
      <c r="Q268" s="110">
        <v>0</v>
      </c>
      <c r="R268" s="59">
        <v>0</v>
      </c>
      <c r="S268" s="14">
        <v>29</v>
      </c>
      <c r="T268" s="59">
        <v>0</v>
      </c>
      <c r="U268" s="15">
        <f t="shared" si="71"/>
        <v>29</v>
      </c>
      <c r="V268" s="14">
        <v>40</v>
      </c>
      <c r="W268" s="15">
        <f t="shared" si="79"/>
        <v>40</v>
      </c>
      <c r="X268" s="14">
        <v>0</v>
      </c>
      <c r="Y268" s="75">
        <v>0</v>
      </c>
      <c r="Z268" s="87">
        <f t="shared" si="80"/>
        <v>0</v>
      </c>
      <c r="AA268" s="14">
        <f t="shared" si="81"/>
        <v>0</v>
      </c>
      <c r="AB268" s="75">
        <v>0</v>
      </c>
      <c r="AC268" s="75">
        <v>0</v>
      </c>
      <c r="AD268" s="59">
        <f t="shared" si="82"/>
        <v>0</v>
      </c>
      <c r="AE268" s="73">
        <v>0</v>
      </c>
      <c r="AF268" s="73">
        <v>0</v>
      </c>
      <c r="AG268" s="15">
        <f t="shared" si="83"/>
        <v>0</v>
      </c>
      <c r="AH268" s="16">
        <f t="shared" si="84"/>
        <v>0</v>
      </c>
      <c r="AI268" s="17">
        <f t="shared" si="85"/>
        <v>127</v>
      </c>
      <c r="AJ268" s="12">
        <f>VLOOKUP(A268,'PreK Proxy - Sept. 2024'!$A$2:$I$674,9,FALSE)</f>
        <v>192</v>
      </c>
      <c r="AK268" s="18">
        <f t="shared" si="86"/>
        <v>0.66145833333333337</v>
      </c>
    </row>
    <row r="269" spans="1:37" x14ac:dyDescent="0.35">
      <c r="A269" s="11" t="s">
        <v>546</v>
      </c>
      <c r="B269" s="12" t="s">
        <v>547</v>
      </c>
      <c r="C269" s="54" t="s">
        <v>1417</v>
      </c>
      <c r="D269" s="54" t="s">
        <v>545</v>
      </c>
      <c r="E269" s="66">
        <f t="shared" si="72"/>
        <v>265</v>
      </c>
      <c r="F269" s="13">
        <f t="shared" si="73"/>
        <v>265</v>
      </c>
      <c r="G269" s="67">
        <f t="shared" si="74"/>
        <v>0</v>
      </c>
      <c r="H269" s="64">
        <f t="shared" si="70"/>
        <v>145</v>
      </c>
      <c r="I269" s="80">
        <v>0</v>
      </c>
      <c r="J269" s="80">
        <v>0</v>
      </c>
      <c r="K269" s="59">
        <f t="shared" si="75"/>
        <v>0</v>
      </c>
      <c r="L269" s="59">
        <v>0</v>
      </c>
      <c r="M269" s="59">
        <v>145</v>
      </c>
      <c r="N269" s="59">
        <f t="shared" si="76"/>
        <v>145</v>
      </c>
      <c r="O269" s="15">
        <f t="shared" si="77"/>
        <v>0</v>
      </c>
      <c r="P269" s="87">
        <f t="shared" si="78"/>
        <v>120</v>
      </c>
      <c r="Q269" s="110">
        <v>0</v>
      </c>
      <c r="R269" s="59">
        <v>120</v>
      </c>
      <c r="S269" s="14">
        <v>0</v>
      </c>
      <c r="T269" s="59">
        <v>0</v>
      </c>
      <c r="U269" s="15">
        <f t="shared" si="71"/>
        <v>0</v>
      </c>
      <c r="V269" s="14">
        <v>0</v>
      </c>
      <c r="W269" s="15">
        <f t="shared" si="79"/>
        <v>0</v>
      </c>
      <c r="X269" s="14">
        <v>0</v>
      </c>
      <c r="Y269" s="75">
        <v>0</v>
      </c>
      <c r="Z269" s="87">
        <f t="shared" si="80"/>
        <v>0</v>
      </c>
      <c r="AA269" s="14">
        <f t="shared" si="81"/>
        <v>0</v>
      </c>
      <c r="AB269" s="75">
        <v>0</v>
      </c>
      <c r="AC269" s="75">
        <v>0</v>
      </c>
      <c r="AD269" s="59">
        <f t="shared" si="82"/>
        <v>0</v>
      </c>
      <c r="AE269" s="73">
        <v>0</v>
      </c>
      <c r="AF269" s="73">
        <v>0</v>
      </c>
      <c r="AG269" s="15">
        <f t="shared" si="83"/>
        <v>0</v>
      </c>
      <c r="AH269" s="16">
        <f t="shared" si="84"/>
        <v>0</v>
      </c>
      <c r="AI269" s="17">
        <f t="shared" si="85"/>
        <v>265</v>
      </c>
      <c r="AJ269" s="12">
        <f>VLOOKUP(A269,'PreK Proxy - Sept. 2024'!$A$2:$I$674,9,FALSE)</f>
        <v>544</v>
      </c>
      <c r="AK269" s="18">
        <f t="shared" si="86"/>
        <v>0.48713235294117646</v>
      </c>
    </row>
    <row r="270" spans="1:37" x14ac:dyDescent="0.35">
      <c r="A270" s="11" t="s">
        <v>548</v>
      </c>
      <c r="B270" s="12" t="s">
        <v>549</v>
      </c>
      <c r="C270" s="54" t="s">
        <v>1417</v>
      </c>
      <c r="D270" s="54" t="s">
        <v>545</v>
      </c>
      <c r="E270" s="66">
        <f t="shared" si="72"/>
        <v>301</v>
      </c>
      <c r="F270" s="13">
        <f t="shared" si="73"/>
        <v>301</v>
      </c>
      <c r="G270" s="67">
        <f t="shared" si="74"/>
        <v>0</v>
      </c>
      <c r="H270" s="64">
        <f t="shared" si="70"/>
        <v>301</v>
      </c>
      <c r="I270" s="80">
        <v>0</v>
      </c>
      <c r="J270" s="80">
        <v>0</v>
      </c>
      <c r="K270" s="59">
        <f t="shared" si="75"/>
        <v>0</v>
      </c>
      <c r="L270" s="59">
        <v>0</v>
      </c>
      <c r="M270" s="59">
        <v>301</v>
      </c>
      <c r="N270" s="59">
        <f t="shared" si="76"/>
        <v>301</v>
      </c>
      <c r="O270" s="15">
        <f t="shared" si="77"/>
        <v>0</v>
      </c>
      <c r="P270" s="87">
        <f t="shared" si="78"/>
        <v>0</v>
      </c>
      <c r="Q270" s="110">
        <v>0</v>
      </c>
      <c r="R270" s="59">
        <v>0</v>
      </c>
      <c r="S270" s="14">
        <v>0</v>
      </c>
      <c r="T270" s="59">
        <v>0</v>
      </c>
      <c r="U270" s="15">
        <f t="shared" si="71"/>
        <v>0</v>
      </c>
      <c r="V270" s="14">
        <v>0</v>
      </c>
      <c r="W270" s="15">
        <f t="shared" si="79"/>
        <v>0</v>
      </c>
      <c r="X270" s="14">
        <v>0</v>
      </c>
      <c r="Y270" s="75">
        <v>0</v>
      </c>
      <c r="Z270" s="87">
        <f t="shared" si="80"/>
        <v>0</v>
      </c>
      <c r="AA270" s="14">
        <f t="shared" si="81"/>
        <v>0</v>
      </c>
      <c r="AB270" s="75">
        <v>0</v>
      </c>
      <c r="AC270" s="75">
        <v>0</v>
      </c>
      <c r="AD270" s="59">
        <f t="shared" si="82"/>
        <v>0</v>
      </c>
      <c r="AE270" s="73">
        <v>0</v>
      </c>
      <c r="AF270" s="73">
        <v>0</v>
      </c>
      <c r="AG270" s="15">
        <f t="shared" si="83"/>
        <v>0</v>
      </c>
      <c r="AH270" s="16">
        <f t="shared" si="84"/>
        <v>0</v>
      </c>
      <c r="AI270" s="17">
        <f t="shared" si="85"/>
        <v>301</v>
      </c>
      <c r="AJ270" s="12">
        <f>VLOOKUP(A270,'PreK Proxy - Sept. 2024'!$A$2:$I$674,9,FALSE)</f>
        <v>371</v>
      </c>
      <c r="AK270" s="18">
        <f t="shared" si="86"/>
        <v>0.81132075471698117</v>
      </c>
    </row>
    <row r="271" spans="1:37" x14ac:dyDescent="0.35">
      <c r="A271" s="11" t="s">
        <v>550</v>
      </c>
      <c r="B271" s="12" t="s">
        <v>551</v>
      </c>
      <c r="C271" s="54" t="s">
        <v>1417</v>
      </c>
      <c r="D271" s="54" t="s">
        <v>545</v>
      </c>
      <c r="E271" s="66">
        <f t="shared" si="72"/>
        <v>316</v>
      </c>
      <c r="F271" s="13">
        <f t="shared" si="73"/>
        <v>316</v>
      </c>
      <c r="G271" s="67">
        <f t="shared" si="74"/>
        <v>0</v>
      </c>
      <c r="H271" s="64">
        <f t="shared" si="70"/>
        <v>148</v>
      </c>
      <c r="I271" s="80">
        <v>0</v>
      </c>
      <c r="J271" s="80">
        <v>0</v>
      </c>
      <c r="K271" s="59">
        <f t="shared" si="75"/>
        <v>0</v>
      </c>
      <c r="L271" s="59">
        <v>0</v>
      </c>
      <c r="M271" s="59">
        <v>148</v>
      </c>
      <c r="N271" s="59">
        <f t="shared" si="76"/>
        <v>148</v>
      </c>
      <c r="O271" s="15">
        <f t="shared" si="77"/>
        <v>0</v>
      </c>
      <c r="P271" s="87">
        <f t="shared" si="78"/>
        <v>168</v>
      </c>
      <c r="Q271" s="110">
        <v>0</v>
      </c>
      <c r="R271" s="59">
        <v>168</v>
      </c>
      <c r="S271" s="14">
        <v>0</v>
      </c>
      <c r="T271" s="59">
        <v>0</v>
      </c>
      <c r="U271" s="15">
        <f t="shared" si="71"/>
        <v>0</v>
      </c>
      <c r="V271" s="14">
        <v>0</v>
      </c>
      <c r="W271" s="15">
        <f t="shared" si="79"/>
        <v>0</v>
      </c>
      <c r="X271" s="14">
        <v>0</v>
      </c>
      <c r="Y271" s="75">
        <v>0</v>
      </c>
      <c r="Z271" s="87">
        <f t="shared" si="80"/>
        <v>0</v>
      </c>
      <c r="AA271" s="14">
        <f t="shared" si="81"/>
        <v>0</v>
      </c>
      <c r="AB271" s="75">
        <v>0</v>
      </c>
      <c r="AC271" s="75">
        <v>0</v>
      </c>
      <c r="AD271" s="59">
        <f t="shared" si="82"/>
        <v>0</v>
      </c>
      <c r="AE271" s="73">
        <v>0</v>
      </c>
      <c r="AF271" s="73">
        <v>0</v>
      </c>
      <c r="AG271" s="15">
        <f t="shared" si="83"/>
        <v>0</v>
      </c>
      <c r="AH271" s="16">
        <f t="shared" si="84"/>
        <v>0</v>
      </c>
      <c r="AI271" s="17">
        <f t="shared" si="85"/>
        <v>316</v>
      </c>
      <c r="AJ271" s="12">
        <f>VLOOKUP(A271,'PreK Proxy - Sept. 2024'!$A$2:$I$674,9,FALSE)</f>
        <v>477</v>
      </c>
      <c r="AK271" s="18">
        <f t="shared" si="86"/>
        <v>0.66247379454926625</v>
      </c>
    </row>
    <row r="272" spans="1:37" x14ac:dyDescent="0.35">
      <c r="A272" s="11" t="s">
        <v>552</v>
      </c>
      <c r="B272" s="12" t="s">
        <v>553</v>
      </c>
      <c r="C272" s="54" t="s">
        <v>1417</v>
      </c>
      <c r="D272" s="54" t="s">
        <v>545</v>
      </c>
      <c r="E272" s="66">
        <f t="shared" si="72"/>
        <v>187</v>
      </c>
      <c r="F272" s="13">
        <f t="shared" si="73"/>
        <v>163</v>
      </c>
      <c r="G272" s="67">
        <f t="shared" si="74"/>
        <v>24</v>
      </c>
      <c r="H272" s="64">
        <f t="shared" si="70"/>
        <v>117</v>
      </c>
      <c r="I272" s="80">
        <v>0</v>
      </c>
      <c r="J272" s="80">
        <v>24</v>
      </c>
      <c r="K272" s="59">
        <f t="shared" si="75"/>
        <v>24</v>
      </c>
      <c r="L272" s="59">
        <v>0</v>
      </c>
      <c r="M272" s="59">
        <v>93</v>
      </c>
      <c r="N272" s="59">
        <f t="shared" si="76"/>
        <v>93</v>
      </c>
      <c r="O272" s="15">
        <f t="shared" si="77"/>
        <v>0</v>
      </c>
      <c r="P272" s="87">
        <f t="shared" si="78"/>
        <v>70</v>
      </c>
      <c r="Q272" s="110">
        <v>0</v>
      </c>
      <c r="R272" s="59">
        <v>70</v>
      </c>
      <c r="S272" s="14">
        <v>0</v>
      </c>
      <c r="T272" s="59">
        <v>0</v>
      </c>
      <c r="U272" s="15">
        <f t="shared" si="71"/>
        <v>0</v>
      </c>
      <c r="V272" s="14">
        <v>0</v>
      </c>
      <c r="W272" s="15">
        <f t="shared" si="79"/>
        <v>0</v>
      </c>
      <c r="X272" s="14">
        <v>0</v>
      </c>
      <c r="Y272" s="75">
        <v>0</v>
      </c>
      <c r="Z272" s="87">
        <f t="shared" si="80"/>
        <v>0</v>
      </c>
      <c r="AA272" s="14">
        <f t="shared" si="81"/>
        <v>0</v>
      </c>
      <c r="AB272" s="75">
        <v>0</v>
      </c>
      <c r="AC272" s="75">
        <v>0</v>
      </c>
      <c r="AD272" s="59">
        <f t="shared" si="82"/>
        <v>0</v>
      </c>
      <c r="AE272" s="73">
        <v>0</v>
      </c>
      <c r="AF272" s="73">
        <v>0</v>
      </c>
      <c r="AG272" s="15">
        <f t="shared" si="83"/>
        <v>0</v>
      </c>
      <c r="AH272" s="16">
        <f t="shared" si="84"/>
        <v>24</v>
      </c>
      <c r="AI272" s="17">
        <f t="shared" si="85"/>
        <v>163</v>
      </c>
      <c r="AJ272" s="12">
        <f>VLOOKUP(A272,'PreK Proxy - Sept. 2024'!$A$2:$I$674,9,FALSE)</f>
        <v>201</v>
      </c>
      <c r="AK272" s="18">
        <f t="shared" si="86"/>
        <v>0.93034825870646765</v>
      </c>
    </row>
    <row r="273" spans="1:37" x14ac:dyDescent="0.35">
      <c r="A273" s="11" t="s">
        <v>554</v>
      </c>
      <c r="B273" s="12" t="s">
        <v>555</v>
      </c>
      <c r="C273" s="54" t="s">
        <v>1417</v>
      </c>
      <c r="D273" s="54" t="s">
        <v>545</v>
      </c>
      <c r="E273" s="66">
        <f t="shared" si="72"/>
        <v>334</v>
      </c>
      <c r="F273" s="13">
        <f t="shared" si="73"/>
        <v>332</v>
      </c>
      <c r="G273" s="67">
        <f t="shared" si="74"/>
        <v>2</v>
      </c>
      <c r="H273" s="64">
        <f t="shared" si="70"/>
        <v>197</v>
      </c>
      <c r="I273" s="80">
        <v>0</v>
      </c>
      <c r="J273" s="80">
        <v>1</v>
      </c>
      <c r="K273" s="59">
        <f t="shared" si="75"/>
        <v>1</v>
      </c>
      <c r="L273" s="59">
        <v>0</v>
      </c>
      <c r="M273" s="59">
        <v>196</v>
      </c>
      <c r="N273" s="59">
        <f t="shared" si="76"/>
        <v>196</v>
      </c>
      <c r="O273" s="15">
        <f t="shared" si="77"/>
        <v>0</v>
      </c>
      <c r="P273" s="87">
        <f t="shared" si="78"/>
        <v>137</v>
      </c>
      <c r="Q273" s="110">
        <v>1</v>
      </c>
      <c r="R273" s="59">
        <v>136</v>
      </c>
      <c r="S273" s="14">
        <v>0</v>
      </c>
      <c r="T273" s="59">
        <v>0</v>
      </c>
      <c r="U273" s="15">
        <f t="shared" si="71"/>
        <v>0</v>
      </c>
      <c r="V273" s="14">
        <v>0</v>
      </c>
      <c r="W273" s="15">
        <f t="shared" si="79"/>
        <v>0</v>
      </c>
      <c r="X273" s="14">
        <v>0</v>
      </c>
      <c r="Y273" s="75">
        <v>0</v>
      </c>
      <c r="Z273" s="87">
        <f t="shared" si="80"/>
        <v>0</v>
      </c>
      <c r="AA273" s="14">
        <f t="shared" si="81"/>
        <v>0</v>
      </c>
      <c r="AB273" s="75">
        <v>0</v>
      </c>
      <c r="AC273" s="75">
        <v>0</v>
      </c>
      <c r="AD273" s="59">
        <f t="shared" si="82"/>
        <v>0</v>
      </c>
      <c r="AE273" s="73">
        <v>0</v>
      </c>
      <c r="AF273" s="73">
        <v>0</v>
      </c>
      <c r="AG273" s="15">
        <f t="shared" si="83"/>
        <v>0</v>
      </c>
      <c r="AH273" s="16">
        <f t="shared" si="84"/>
        <v>2</v>
      </c>
      <c r="AI273" s="17">
        <f t="shared" si="85"/>
        <v>332</v>
      </c>
      <c r="AJ273" s="12">
        <f>VLOOKUP(A273,'PreK Proxy - Sept. 2024'!$A$2:$I$674,9,FALSE)</f>
        <v>444</v>
      </c>
      <c r="AK273" s="18">
        <f t="shared" si="86"/>
        <v>0.75225225225225223</v>
      </c>
    </row>
    <row r="274" spans="1:37" x14ac:dyDescent="0.35">
      <c r="A274" s="11" t="s">
        <v>556</v>
      </c>
      <c r="B274" s="12" t="s">
        <v>557</v>
      </c>
      <c r="C274" s="54" t="s">
        <v>1417</v>
      </c>
      <c r="D274" s="54" t="s">
        <v>545</v>
      </c>
      <c r="E274" s="66">
        <f t="shared" si="72"/>
        <v>0</v>
      </c>
      <c r="F274" s="13">
        <f t="shared" si="73"/>
        <v>0</v>
      </c>
      <c r="G274" s="67">
        <f t="shared" si="74"/>
        <v>0</v>
      </c>
      <c r="H274" s="64">
        <f t="shared" si="70"/>
        <v>0</v>
      </c>
      <c r="I274" s="80">
        <v>0</v>
      </c>
      <c r="J274" s="80">
        <v>0</v>
      </c>
      <c r="K274" s="59">
        <f t="shared" si="75"/>
        <v>0</v>
      </c>
      <c r="L274" s="59">
        <v>0</v>
      </c>
      <c r="M274" s="59">
        <v>0</v>
      </c>
      <c r="N274" s="59">
        <f t="shared" si="76"/>
        <v>0</v>
      </c>
      <c r="O274" s="15">
        <f t="shared" si="77"/>
        <v>0</v>
      </c>
      <c r="P274" s="87">
        <f t="shared" si="78"/>
        <v>0</v>
      </c>
      <c r="Q274" s="110">
        <v>0</v>
      </c>
      <c r="R274" s="59">
        <v>0</v>
      </c>
      <c r="S274" s="14">
        <v>0</v>
      </c>
      <c r="T274" s="59">
        <v>0</v>
      </c>
      <c r="U274" s="15">
        <f t="shared" si="71"/>
        <v>0</v>
      </c>
      <c r="V274" s="14">
        <v>0</v>
      </c>
      <c r="W274" s="15">
        <f t="shared" si="79"/>
        <v>0</v>
      </c>
      <c r="X274" s="14">
        <v>0</v>
      </c>
      <c r="Y274" s="75">
        <v>0</v>
      </c>
      <c r="Z274" s="87">
        <f t="shared" si="80"/>
        <v>0</v>
      </c>
      <c r="AA274" s="14">
        <f t="shared" si="81"/>
        <v>0</v>
      </c>
      <c r="AB274" s="75">
        <v>0</v>
      </c>
      <c r="AC274" s="75">
        <v>0</v>
      </c>
      <c r="AD274" s="59">
        <f t="shared" si="82"/>
        <v>0</v>
      </c>
      <c r="AE274" s="73">
        <v>0</v>
      </c>
      <c r="AF274" s="73">
        <v>0</v>
      </c>
      <c r="AG274" s="15">
        <f t="shared" si="83"/>
        <v>0</v>
      </c>
      <c r="AH274" s="16">
        <f t="shared" si="84"/>
        <v>0</v>
      </c>
      <c r="AI274" s="17">
        <f t="shared" si="85"/>
        <v>0</v>
      </c>
      <c r="AJ274" s="12">
        <f>VLOOKUP(A274,'PreK Proxy - Sept. 2024'!$A$2:$I$674,9,FALSE)</f>
        <v>163</v>
      </c>
      <c r="AK274" s="18">
        <f t="shared" si="86"/>
        <v>0</v>
      </c>
    </row>
    <row r="275" spans="1:37" x14ac:dyDescent="0.35">
      <c r="A275" s="11" t="s">
        <v>558</v>
      </c>
      <c r="B275" s="12" t="s">
        <v>559</v>
      </c>
      <c r="C275" s="54" t="s">
        <v>1417</v>
      </c>
      <c r="D275" s="54" t="s">
        <v>545</v>
      </c>
      <c r="E275" s="66">
        <f t="shared" si="72"/>
        <v>110</v>
      </c>
      <c r="F275" s="13">
        <f t="shared" si="73"/>
        <v>110</v>
      </c>
      <c r="G275" s="67">
        <f t="shared" si="74"/>
        <v>0</v>
      </c>
      <c r="H275" s="64">
        <f t="shared" si="70"/>
        <v>84</v>
      </c>
      <c r="I275" s="80">
        <v>0</v>
      </c>
      <c r="J275" s="80">
        <v>0</v>
      </c>
      <c r="K275" s="59">
        <f t="shared" si="75"/>
        <v>0</v>
      </c>
      <c r="L275" s="59">
        <v>0</v>
      </c>
      <c r="M275" s="59">
        <v>84</v>
      </c>
      <c r="N275" s="59">
        <f t="shared" si="76"/>
        <v>84</v>
      </c>
      <c r="O275" s="15">
        <f t="shared" si="77"/>
        <v>0</v>
      </c>
      <c r="P275" s="87">
        <f t="shared" si="78"/>
        <v>0</v>
      </c>
      <c r="Q275" s="110">
        <v>0</v>
      </c>
      <c r="R275" s="59">
        <v>0</v>
      </c>
      <c r="S275" s="14">
        <v>0</v>
      </c>
      <c r="T275" s="59">
        <v>0</v>
      </c>
      <c r="U275" s="15">
        <f t="shared" si="71"/>
        <v>0</v>
      </c>
      <c r="V275" s="14">
        <v>0</v>
      </c>
      <c r="W275" s="15">
        <f t="shared" si="79"/>
        <v>0</v>
      </c>
      <c r="X275" s="14">
        <v>26</v>
      </c>
      <c r="Y275" s="75">
        <v>0</v>
      </c>
      <c r="Z275" s="87">
        <f t="shared" si="80"/>
        <v>26</v>
      </c>
      <c r="AA275" s="14">
        <f t="shared" si="81"/>
        <v>0</v>
      </c>
      <c r="AB275" s="75">
        <v>0</v>
      </c>
      <c r="AC275" s="75">
        <v>0</v>
      </c>
      <c r="AD275" s="59">
        <f t="shared" si="82"/>
        <v>0</v>
      </c>
      <c r="AE275" s="73">
        <v>0</v>
      </c>
      <c r="AF275" s="73">
        <v>0</v>
      </c>
      <c r="AG275" s="15">
        <f t="shared" si="83"/>
        <v>0</v>
      </c>
      <c r="AH275" s="16">
        <f t="shared" si="84"/>
        <v>0</v>
      </c>
      <c r="AI275" s="17">
        <f t="shared" si="85"/>
        <v>110</v>
      </c>
      <c r="AJ275" s="12">
        <f>VLOOKUP(A275,'PreK Proxy - Sept. 2024'!$A$2:$I$674,9,FALSE)</f>
        <v>140</v>
      </c>
      <c r="AK275" s="18">
        <f t="shared" si="86"/>
        <v>0.7857142857142857</v>
      </c>
    </row>
    <row r="276" spans="1:37" x14ac:dyDescent="0.35">
      <c r="A276" s="11" t="s">
        <v>560</v>
      </c>
      <c r="B276" s="12" t="s">
        <v>561</v>
      </c>
      <c r="C276" s="54" t="s">
        <v>1417</v>
      </c>
      <c r="D276" s="54" t="s">
        <v>545</v>
      </c>
      <c r="E276" s="66">
        <f t="shared" si="72"/>
        <v>167</v>
      </c>
      <c r="F276" s="13">
        <f t="shared" si="73"/>
        <v>167</v>
      </c>
      <c r="G276" s="67">
        <f t="shared" si="74"/>
        <v>0</v>
      </c>
      <c r="H276" s="64">
        <f t="shared" si="70"/>
        <v>150</v>
      </c>
      <c r="I276" s="80">
        <v>0</v>
      </c>
      <c r="J276" s="80">
        <v>0</v>
      </c>
      <c r="K276" s="59">
        <f t="shared" si="75"/>
        <v>0</v>
      </c>
      <c r="L276" s="59">
        <v>26</v>
      </c>
      <c r="M276" s="59">
        <v>124</v>
      </c>
      <c r="N276" s="59">
        <f t="shared" si="76"/>
        <v>150</v>
      </c>
      <c r="O276" s="15">
        <f t="shared" si="77"/>
        <v>0</v>
      </c>
      <c r="P276" s="87">
        <f t="shared" si="78"/>
        <v>0</v>
      </c>
      <c r="Q276" s="110">
        <v>0</v>
      </c>
      <c r="R276" s="59">
        <v>0</v>
      </c>
      <c r="S276" s="14">
        <v>0</v>
      </c>
      <c r="T276" s="59">
        <v>0</v>
      </c>
      <c r="U276" s="15">
        <f t="shared" si="71"/>
        <v>0</v>
      </c>
      <c r="V276" s="14">
        <v>17</v>
      </c>
      <c r="W276" s="15">
        <f t="shared" si="79"/>
        <v>17</v>
      </c>
      <c r="X276" s="14">
        <v>0</v>
      </c>
      <c r="Y276" s="75">
        <v>0</v>
      </c>
      <c r="Z276" s="87">
        <f t="shared" si="80"/>
        <v>0</v>
      </c>
      <c r="AA276" s="14">
        <f t="shared" si="81"/>
        <v>0</v>
      </c>
      <c r="AB276" s="75">
        <v>0</v>
      </c>
      <c r="AC276" s="75">
        <v>0</v>
      </c>
      <c r="AD276" s="59">
        <f t="shared" si="82"/>
        <v>0</v>
      </c>
      <c r="AE276" s="73">
        <v>0</v>
      </c>
      <c r="AF276" s="73">
        <v>0</v>
      </c>
      <c r="AG276" s="15">
        <f t="shared" si="83"/>
        <v>0</v>
      </c>
      <c r="AH276" s="16">
        <f t="shared" si="84"/>
        <v>0</v>
      </c>
      <c r="AI276" s="17">
        <f t="shared" si="85"/>
        <v>141</v>
      </c>
      <c r="AJ276" s="12">
        <f>VLOOKUP(A276,'PreK Proxy - Sept. 2024'!$A$2:$I$674,9,FALSE)</f>
        <v>173</v>
      </c>
      <c r="AK276" s="18">
        <f t="shared" si="86"/>
        <v>0.81502890173410403</v>
      </c>
    </row>
    <row r="277" spans="1:37" x14ac:dyDescent="0.35">
      <c r="A277" s="11" t="s">
        <v>562</v>
      </c>
      <c r="B277" s="12" t="s">
        <v>563</v>
      </c>
      <c r="C277" s="54" t="s">
        <v>1417</v>
      </c>
      <c r="D277" s="54" t="s">
        <v>545</v>
      </c>
      <c r="E277" s="66">
        <f t="shared" si="72"/>
        <v>264</v>
      </c>
      <c r="F277" s="13">
        <f t="shared" si="73"/>
        <v>229</v>
      </c>
      <c r="G277" s="67">
        <f t="shared" si="74"/>
        <v>35</v>
      </c>
      <c r="H277" s="64">
        <f t="shared" si="70"/>
        <v>264</v>
      </c>
      <c r="I277" s="80">
        <v>0</v>
      </c>
      <c r="J277" s="80">
        <v>35</v>
      </c>
      <c r="K277" s="59">
        <f t="shared" si="75"/>
        <v>35</v>
      </c>
      <c r="L277" s="59">
        <v>0</v>
      </c>
      <c r="M277" s="59">
        <v>229</v>
      </c>
      <c r="N277" s="59">
        <f t="shared" si="76"/>
        <v>229</v>
      </c>
      <c r="O277" s="15">
        <f t="shared" si="77"/>
        <v>0</v>
      </c>
      <c r="P277" s="87">
        <f t="shared" si="78"/>
        <v>0</v>
      </c>
      <c r="Q277" s="110">
        <v>0</v>
      </c>
      <c r="R277" s="59">
        <v>0</v>
      </c>
      <c r="S277" s="14">
        <v>0</v>
      </c>
      <c r="T277" s="59">
        <v>0</v>
      </c>
      <c r="U277" s="15">
        <f t="shared" si="71"/>
        <v>0</v>
      </c>
      <c r="V277" s="14">
        <v>0</v>
      </c>
      <c r="W277" s="15">
        <f t="shared" si="79"/>
        <v>0</v>
      </c>
      <c r="X277" s="14">
        <v>0</v>
      </c>
      <c r="Y277" s="75">
        <v>0</v>
      </c>
      <c r="Z277" s="87">
        <f t="shared" si="80"/>
        <v>0</v>
      </c>
      <c r="AA277" s="14">
        <f t="shared" si="81"/>
        <v>0</v>
      </c>
      <c r="AB277" s="75">
        <v>0</v>
      </c>
      <c r="AC277" s="75">
        <v>0</v>
      </c>
      <c r="AD277" s="59">
        <f t="shared" si="82"/>
        <v>0</v>
      </c>
      <c r="AE277" s="73">
        <v>0</v>
      </c>
      <c r="AF277" s="73">
        <v>0</v>
      </c>
      <c r="AG277" s="15">
        <f t="shared" si="83"/>
        <v>0</v>
      </c>
      <c r="AH277" s="16">
        <f t="shared" si="84"/>
        <v>35</v>
      </c>
      <c r="AI277" s="17">
        <f t="shared" si="85"/>
        <v>229</v>
      </c>
      <c r="AJ277" s="12">
        <f>VLOOKUP(A277,'PreK Proxy - Sept. 2024'!$A$2:$I$674,9,FALSE)</f>
        <v>331</v>
      </c>
      <c r="AK277" s="18">
        <f t="shared" si="86"/>
        <v>0.797583081570997</v>
      </c>
    </row>
    <row r="278" spans="1:37" x14ac:dyDescent="0.35">
      <c r="A278" s="11" t="s">
        <v>564</v>
      </c>
      <c r="B278" s="12" t="s">
        <v>565</v>
      </c>
      <c r="C278" s="54" t="s">
        <v>1417</v>
      </c>
      <c r="D278" s="54" t="s">
        <v>545</v>
      </c>
      <c r="E278" s="66">
        <f t="shared" si="72"/>
        <v>136</v>
      </c>
      <c r="F278" s="13">
        <f t="shared" si="73"/>
        <v>136</v>
      </c>
      <c r="G278" s="67">
        <f t="shared" si="74"/>
        <v>0</v>
      </c>
      <c r="H278" s="64">
        <f t="shared" si="70"/>
        <v>40</v>
      </c>
      <c r="I278" s="80">
        <v>0</v>
      </c>
      <c r="J278" s="80">
        <v>0</v>
      </c>
      <c r="K278" s="59">
        <f t="shared" si="75"/>
        <v>0</v>
      </c>
      <c r="L278" s="59">
        <v>0</v>
      </c>
      <c r="M278" s="59">
        <v>40</v>
      </c>
      <c r="N278" s="59">
        <f t="shared" si="76"/>
        <v>40</v>
      </c>
      <c r="O278" s="15">
        <f t="shared" si="77"/>
        <v>0</v>
      </c>
      <c r="P278" s="87">
        <f t="shared" si="78"/>
        <v>96</v>
      </c>
      <c r="Q278" s="110">
        <v>0</v>
      </c>
      <c r="R278" s="59">
        <v>96</v>
      </c>
      <c r="S278" s="14">
        <v>0</v>
      </c>
      <c r="T278" s="59">
        <v>0</v>
      </c>
      <c r="U278" s="15">
        <f t="shared" si="71"/>
        <v>0</v>
      </c>
      <c r="V278" s="14">
        <v>0</v>
      </c>
      <c r="W278" s="15">
        <f t="shared" si="79"/>
        <v>0</v>
      </c>
      <c r="X278" s="14">
        <v>0</v>
      </c>
      <c r="Y278" s="75">
        <v>0</v>
      </c>
      <c r="Z278" s="87">
        <f t="shared" si="80"/>
        <v>0</v>
      </c>
      <c r="AA278" s="14">
        <f t="shared" si="81"/>
        <v>0</v>
      </c>
      <c r="AB278" s="75">
        <v>0</v>
      </c>
      <c r="AC278" s="75">
        <v>0</v>
      </c>
      <c r="AD278" s="59">
        <f t="shared" si="82"/>
        <v>0</v>
      </c>
      <c r="AE278" s="73">
        <v>0</v>
      </c>
      <c r="AF278" s="73">
        <v>0</v>
      </c>
      <c r="AG278" s="15">
        <f t="shared" si="83"/>
        <v>0</v>
      </c>
      <c r="AH278" s="16">
        <f t="shared" si="84"/>
        <v>0</v>
      </c>
      <c r="AI278" s="17">
        <f t="shared" si="85"/>
        <v>136</v>
      </c>
      <c r="AJ278" s="12">
        <f>VLOOKUP(A278,'PreK Proxy - Sept. 2024'!$A$2:$I$674,9,FALSE)</f>
        <v>221</v>
      </c>
      <c r="AK278" s="18">
        <f t="shared" si="86"/>
        <v>0.61538461538461542</v>
      </c>
    </row>
    <row r="279" spans="1:37" x14ac:dyDescent="0.35">
      <c r="A279" s="11" t="s">
        <v>566</v>
      </c>
      <c r="B279" s="12" t="s">
        <v>567</v>
      </c>
      <c r="C279" s="54" t="s">
        <v>1417</v>
      </c>
      <c r="D279" s="54" t="s">
        <v>545</v>
      </c>
      <c r="E279" s="66">
        <f t="shared" si="72"/>
        <v>248</v>
      </c>
      <c r="F279" s="13">
        <f t="shared" si="73"/>
        <v>248</v>
      </c>
      <c r="G279" s="67">
        <f t="shared" si="74"/>
        <v>0</v>
      </c>
      <c r="H279" s="64">
        <f t="shared" si="70"/>
        <v>130</v>
      </c>
      <c r="I279" s="80">
        <v>0</v>
      </c>
      <c r="J279" s="80">
        <v>0</v>
      </c>
      <c r="K279" s="59">
        <f t="shared" si="75"/>
        <v>0</v>
      </c>
      <c r="L279" s="59">
        <v>0</v>
      </c>
      <c r="M279" s="59">
        <v>130</v>
      </c>
      <c r="N279" s="59">
        <f t="shared" si="76"/>
        <v>130</v>
      </c>
      <c r="O279" s="15">
        <f t="shared" si="77"/>
        <v>0</v>
      </c>
      <c r="P279" s="87">
        <f t="shared" si="78"/>
        <v>118</v>
      </c>
      <c r="Q279" s="110">
        <v>0</v>
      </c>
      <c r="R279" s="59">
        <v>118</v>
      </c>
      <c r="S279" s="14">
        <v>0</v>
      </c>
      <c r="T279" s="59">
        <v>0</v>
      </c>
      <c r="U279" s="15">
        <f t="shared" si="71"/>
        <v>0</v>
      </c>
      <c r="V279" s="14">
        <v>0</v>
      </c>
      <c r="W279" s="15">
        <f t="shared" si="79"/>
        <v>0</v>
      </c>
      <c r="X279" s="14">
        <v>0</v>
      </c>
      <c r="Y279" s="75">
        <v>0</v>
      </c>
      <c r="Z279" s="87">
        <f t="shared" si="80"/>
        <v>0</v>
      </c>
      <c r="AA279" s="14">
        <f t="shared" si="81"/>
        <v>0</v>
      </c>
      <c r="AB279" s="75">
        <v>0</v>
      </c>
      <c r="AC279" s="75">
        <v>0</v>
      </c>
      <c r="AD279" s="59">
        <f t="shared" si="82"/>
        <v>0</v>
      </c>
      <c r="AE279" s="73">
        <v>0</v>
      </c>
      <c r="AF279" s="73">
        <v>0</v>
      </c>
      <c r="AG279" s="15">
        <f t="shared" si="83"/>
        <v>0</v>
      </c>
      <c r="AH279" s="16">
        <f t="shared" si="84"/>
        <v>0</v>
      </c>
      <c r="AI279" s="17">
        <f t="shared" si="85"/>
        <v>248</v>
      </c>
      <c r="AJ279" s="12">
        <f>VLOOKUP(A279,'PreK Proxy - Sept. 2024'!$A$2:$I$674,9,FALSE)</f>
        <v>301</v>
      </c>
      <c r="AK279" s="18">
        <f t="shared" si="86"/>
        <v>0.82392026578073085</v>
      </c>
    </row>
    <row r="280" spans="1:37" x14ac:dyDescent="0.35">
      <c r="A280" s="11" t="s">
        <v>568</v>
      </c>
      <c r="B280" s="12" t="s">
        <v>569</v>
      </c>
      <c r="C280" s="54" t="s">
        <v>1417</v>
      </c>
      <c r="D280" s="54" t="s">
        <v>545</v>
      </c>
      <c r="E280" s="66">
        <f t="shared" si="72"/>
        <v>36</v>
      </c>
      <c r="F280" s="13">
        <f t="shared" si="73"/>
        <v>36</v>
      </c>
      <c r="G280" s="67">
        <f t="shared" si="74"/>
        <v>0</v>
      </c>
      <c r="H280" s="64">
        <f t="shared" si="70"/>
        <v>0</v>
      </c>
      <c r="I280" s="80">
        <v>0</v>
      </c>
      <c r="J280" s="80">
        <v>0</v>
      </c>
      <c r="K280" s="59">
        <f t="shared" si="75"/>
        <v>0</v>
      </c>
      <c r="L280" s="59">
        <v>0</v>
      </c>
      <c r="M280" s="59">
        <v>0</v>
      </c>
      <c r="N280" s="59">
        <f t="shared" si="76"/>
        <v>0</v>
      </c>
      <c r="O280" s="15">
        <f t="shared" si="77"/>
        <v>0</v>
      </c>
      <c r="P280" s="87">
        <f t="shared" si="78"/>
        <v>36</v>
      </c>
      <c r="Q280" s="110">
        <v>0</v>
      </c>
      <c r="R280" s="59">
        <v>36</v>
      </c>
      <c r="S280" s="14">
        <v>0</v>
      </c>
      <c r="T280" s="59">
        <v>0</v>
      </c>
      <c r="U280" s="15">
        <f t="shared" si="71"/>
        <v>0</v>
      </c>
      <c r="V280" s="14">
        <v>0</v>
      </c>
      <c r="W280" s="15">
        <f t="shared" si="79"/>
        <v>0</v>
      </c>
      <c r="X280" s="14">
        <v>0</v>
      </c>
      <c r="Y280" s="75">
        <v>0</v>
      </c>
      <c r="Z280" s="87">
        <f t="shared" si="80"/>
        <v>0</v>
      </c>
      <c r="AA280" s="14">
        <f t="shared" si="81"/>
        <v>0</v>
      </c>
      <c r="AB280" s="75">
        <v>0</v>
      </c>
      <c r="AC280" s="75">
        <v>0</v>
      </c>
      <c r="AD280" s="59">
        <f t="shared" si="82"/>
        <v>0</v>
      </c>
      <c r="AE280" s="73">
        <v>0</v>
      </c>
      <c r="AF280" s="73">
        <v>0</v>
      </c>
      <c r="AG280" s="15">
        <f t="shared" si="83"/>
        <v>0</v>
      </c>
      <c r="AH280" s="16">
        <f t="shared" si="84"/>
        <v>0</v>
      </c>
      <c r="AI280" s="17">
        <f t="shared" si="85"/>
        <v>36</v>
      </c>
      <c r="AJ280" s="12">
        <f>VLOOKUP(A280,'PreK Proxy - Sept. 2024'!$A$2:$I$674,9,FALSE)</f>
        <v>121</v>
      </c>
      <c r="AK280" s="18">
        <f t="shared" si="86"/>
        <v>0.2975206611570248</v>
      </c>
    </row>
    <row r="281" spans="1:37" x14ac:dyDescent="0.35">
      <c r="A281" s="11" t="s">
        <v>570</v>
      </c>
      <c r="B281" s="12" t="s">
        <v>571</v>
      </c>
      <c r="C281" s="54" t="s">
        <v>1417</v>
      </c>
      <c r="D281" s="54" t="s">
        <v>545</v>
      </c>
      <c r="E281" s="66">
        <f t="shared" si="72"/>
        <v>141</v>
      </c>
      <c r="F281" s="13">
        <f t="shared" si="73"/>
        <v>141</v>
      </c>
      <c r="G281" s="67">
        <f t="shared" si="74"/>
        <v>0</v>
      </c>
      <c r="H281" s="64">
        <f t="shared" si="70"/>
        <v>61</v>
      </c>
      <c r="I281" s="80">
        <v>0</v>
      </c>
      <c r="J281" s="80">
        <v>0</v>
      </c>
      <c r="K281" s="59">
        <f t="shared" si="75"/>
        <v>0</v>
      </c>
      <c r="L281" s="59">
        <v>1</v>
      </c>
      <c r="M281" s="59">
        <v>60</v>
      </c>
      <c r="N281" s="59">
        <f t="shared" si="76"/>
        <v>61</v>
      </c>
      <c r="O281" s="15">
        <f t="shared" si="77"/>
        <v>0</v>
      </c>
      <c r="P281" s="87">
        <f t="shared" si="78"/>
        <v>80</v>
      </c>
      <c r="Q281" s="110">
        <v>0</v>
      </c>
      <c r="R281" s="59">
        <v>80</v>
      </c>
      <c r="S281" s="14">
        <v>0</v>
      </c>
      <c r="T281" s="59">
        <v>0</v>
      </c>
      <c r="U281" s="15">
        <f t="shared" si="71"/>
        <v>0</v>
      </c>
      <c r="V281" s="14">
        <v>0</v>
      </c>
      <c r="W281" s="15">
        <f t="shared" si="79"/>
        <v>0</v>
      </c>
      <c r="X281" s="14">
        <v>0</v>
      </c>
      <c r="Y281" s="75">
        <v>0</v>
      </c>
      <c r="Z281" s="87">
        <f t="shared" si="80"/>
        <v>0</v>
      </c>
      <c r="AA281" s="14">
        <f t="shared" si="81"/>
        <v>0</v>
      </c>
      <c r="AB281" s="75">
        <v>0</v>
      </c>
      <c r="AC281" s="75">
        <v>0</v>
      </c>
      <c r="AD281" s="59">
        <f t="shared" si="82"/>
        <v>0</v>
      </c>
      <c r="AE281" s="73">
        <v>0</v>
      </c>
      <c r="AF281" s="73">
        <v>0</v>
      </c>
      <c r="AG281" s="15">
        <f t="shared" si="83"/>
        <v>0</v>
      </c>
      <c r="AH281" s="16">
        <f t="shared" si="84"/>
        <v>0</v>
      </c>
      <c r="AI281" s="17">
        <f t="shared" si="85"/>
        <v>140</v>
      </c>
      <c r="AJ281" s="12">
        <f>VLOOKUP(A281,'PreK Proxy - Sept. 2024'!$A$2:$I$674,9,FALSE)</f>
        <v>214</v>
      </c>
      <c r="AK281" s="18">
        <f t="shared" si="86"/>
        <v>0.65420560747663548</v>
      </c>
    </row>
    <row r="282" spans="1:37" x14ac:dyDescent="0.35">
      <c r="A282" s="11" t="s">
        <v>572</v>
      </c>
      <c r="B282" s="12" t="s">
        <v>573</v>
      </c>
      <c r="C282" s="54" t="s">
        <v>1417</v>
      </c>
      <c r="D282" s="54" t="s">
        <v>545</v>
      </c>
      <c r="E282" s="66">
        <f t="shared" si="72"/>
        <v>104</v>
      </c>
      <c r="F282" s="13">
        <f t="shared" si="73"/>
        <v>104</v>
      </c>
      <c r="G282" s="67">
        <f t="shared" si="74"/>
        <v>0</v>
      </c>
      <c r="H282" s="64">
        <f t="shared" si="70"/>
        <v>104</v>
      </c>
      <c r="I282" s="80">
        <v>0</v>
      </c>
      <c r="J282" s="80">
        <v>0</v>
      </c>
      <c r="K282" s="59">
        <f t="shared" si="75"/>
        <v>0</v>
      </c>
      <c r="L282" s="59">
        <v>2</v>
      </c>
      <c r="M282" s="59">
        <v>102</v>
      </c>
      <c r="N282" s="59">
        <f t="shared" si="76"/>
        <v>104</v>
      </c>
      <c r="O282" s="15">
        <f t="shared" si="77"/>
        <v>0</v>
      </c>
      <c r="P282" s="87">
        <f t="shared" si="78"/>
        <v>0</v>
      </c>
      <c r="Q282" s="110">
        <v>0</v>
      </c>
      <c r="R282" s="59">
        <v>0</v>
      </c>
      <c r="S282" s="14">
        <v>0</v>
      </c>
      <c r="T282" s="59">
        <v>0</v>
      </c>
      <c r="U282" s="15">
        <f t="shared" si="71"/>
        <v>0</v>
      </c>
      <c r="V282" s="14">
        <v>0</v>
      </c>
      <c r="W282" s="15">
        <f t="shared" si="79"/>
        <v>0</v>
      </c>
      <c r="X282" s="14">
        <v>0</v>
      </c>
      <c r="Y282" s="75">
        <v>0</v>
      </c>
      <c r="Z282" s="87">
        <f t="shared" si="80"/>
        <v>0</v>
      </c>
      <c r="AA282" s="14">
        <f t="shared" si="81"/>
        <v>0</v>
      </c>
      <c r="AB282" s="75">
        <v>0</v>
      </c>
      <c r="AC282" s="75">
        <v>0</v>
      </c>
      <c r="AD282" s="59">
        <f t="shared" si="82"/>
        <v>0</v>
      </c>
      <c r="AE282" s="73">
        <v>0</v>
      </c>
      <c r="AF282" s="73">
        <v>0</v>
      </c>
      <c r="AG282" s="15">
        <f t="shared" si="83"/>
        <v>0</v>
      </c>
      <c r="AH282" s="16">
        <f t="shared" si="84"/>
        <v>0</v>
      </c>
      <c r="AI282" s="17">
        <f t="shared" si="85"/>
        <v>102</v>
      </c>
      <c r="AJ282" s="12">
        <f>VLOOKUP(A282,'PreK Proxy - Sept. 2024'!$A$2:$I$674,9,FALSE)</f>
        <v>259</v>
      </c>
      <c r="AK282" s="18">
        <f t="shared" si="86"/>
        <v>0.39382239382239381</v>
      </c>
    </row>
    <row r="283" spans="1:37" x14ac:dyDescent="0.35">
      <c r="A283" s="11" t="s">
        <v>574</v>
      </c>
      <c r="B283" s="12" t="s">
        <v>575</v>
      </c>
      <c r="C283" s="54" t="s">
        <v>1417</v>
      </c>
      <c r="D283" s="54" t="s">
        <v>545</v>
      </c>
      <c r="E283" s="66">
        <f t="shared" si="72"/>
        <v>252</v>
      </c>
      <c r="F283" s="13">
        <f t="shared" si="73"/>
        <v>72</v>
      </c>
      <c r="G283" s="67">
        <f t="shared" si="74"/>
        <v>180</v>
      </c>
      <c r="H283" s="64">
        <f t="shared" si="70"/>
        <v>252</v>
      </c>
      <c r="I283" s="80">
        <v>5</v>
      </c>
      <c r="J283" s="80">
        <v>175</v>
      </c>
      <c r="K283" s="59">
        <f t="shared" si="75"/>
        <v>180</v>
      </c>
      <c r="L283" s="59">
        <v>0</v>
      </c>
      <c r="M283" s="59">
        <v>72</v>
      </c>
      <c r="N283" s="59">
        <f t="shared" si="76"/>
        <v>72</v>
      </c>
      <c r="O283" s="15">
        <f t="shared" si="77"/>
        <v>0</v>
      </c>
      <c r="P283" s="87">
        <f t="shared" si="78"/>
        <v>0</v>
      </c>
      <c r="Q283" s="110">
        <v>0</v>
      </c>
      <c r="R283" s="59">
        <v>0</v>
      </c>
      <c r="S283" s="14">
        <v>0</v>
      </c>
      <c r="T283" s="59">
        <v>0</v>
      </c>
      <c r="U283" s="15">
        <f t="shared" si="71"/>
        <v>0</v>
      </c>
      <c r="V283" s="14">
        <v>0</v>
      </c>
      <c r="W283" s="15">
        <f t="shared" si="79"/>
        <v>0</v>
      </c>
      <c r="X283" s="14">
        <v>0</v>
      </c>
      <c r="Y283" s="75">
        <v>0</v>
      </c>
      <c r="Z283" s="87">
        <f t="shared" si="80"/>
        <v>0</v>
      </c>
      <c r="AA283" s="14">
        <f t="shared" si="81"/>
        <v>0</v>
      </c>
      <c r="AB283" s="75">
        <v>0</v>
      </c>
      <c r="AC283" s="75">
        <v>0</v>
      </c>
      <c r="AD283" s="59">
        <f t="shared" si="82"/>
        <v>0</v>
      </c>
      <c r="AE283" s="73">
        <v>0</v>
      </c>
      <c r="AF283" s="73">
        <v>0</v>
      </c>
      <c r="AG283" s="15">
        <f t="shared" si="83"/>
        <v>0</v>
      </c>
      <c r="AH283" s="16">
        <f t="shared" si="84"/>
        <v>175</v>
      </c>
      <c r="AI283" s="17">
        <f t="shared" si="85"/>
        <v>72</v>
      </c>
      <c r="AJ283" s="12">
        <f>VLOOKUP(A283,'PreK Proxy - Sept. 2024'!$A$2:$I$674,9,FALSE)</f>
        <v>294</v>
      </c>
      <c r="AK283" s="18">
        <f t="shared" si="86"/>
        <v>0.84013605442176875</v>
      </c>
    </row>
    <row r="284" spans="1:37" x14ac:dyDescent="0.35">
      <c r="A284" s="11" t="s">
        <v>576</v>
      </c>
      <c r="B284" s="12" t="s">
        <v>577</v>
      </c>
      <c r="C284" s="54" t="s">
        <v>1417</v>
      </c>
      <c r="D284" s="54" t="s">
        <v>545</v>
      </c>
      <c r="E284" s="66">
        <f t="shared" si="72"/>
        <v>226</v>
      </c>
      <c r="F284" s="13">
        <f t="shared" si="73"/>
        <v>226</v>
      </c>
      <c r="G284" s="67">
        <f t="shared" si="74"/>
        <v>0</v>
      </c>
      <c r="H284" s="64">
        <f t="shared" si="70"/>
        <v>226</v>
      </c>
      <c r="I284" s="80">
        <v>0</v>
      </c>
      <c r="J284" s="80">
        <v>0</v>
      </c>
      <c r="K284" s="59">
        <f t="shared" si="75"/>
        <v>0</v>
      </c>
      <c r="L284" s="59">
        <v>0</v>
      </c>
      <c r="M284" s="59">
        <v>226</v>
      </c>
      <c r="N284" s="59">
        <f t="shared" si="76"/>
        <v>226</v>
      </c>
      <c r="O284" s="15">
        <f t="shared" si="77"/>
        <v>0</v>
      </c>
      <c r="P284" s="87">
        <f t="shared" si="78"/>
        <v>0</v>
      </c>
      <c r="Q284" s="110">
        <v>0</v>
      </c>
      <c r="R284" s="59">
        <v>0</v>
      </c>
      <c r="S284" s="14">
        <v>0</v>
      </c>
      <c r="T284" s="59">
        <v>0</v>
      </c>
      <c r="U284" s="15">
        <f t="shared" si="71"/>
        <v>0</v>
      </c>
      <c r="V284" s="14">
        <v>0</v>
      </c>
      <c r="W284" s="15">
        <f t="shared" si="79"/>
        <v>0</v>
      </c>
      <c r="X284" s="14">
        <v>0</v>
      </c>
      <c r="Y284" s="75">
        <v>0</v>
      </c>
      <c r="Z284" s="87">
        <f t="shared" si="80"/>
        <v>0</v>
      </c>
      <c r="AA284" s="14">
        <f t="shared" si="81"/>
        <v>0</v>
      </c>
      <c r="AB284" s="75">
        <v>0</v>
      </c>
      <c r="AC284" s="75">
        <v>0</v>
      </c>
      <c r="AD284" s="59">
        <f t="shared" si="82"/>
        <v>0</v>
      </c>
      <c r="AE284" s="73">
        <v>0</v>
      </c>
      <c r="AF284" s="73">
        <v>0</v>
      </c>
      <c r="AG284" s="15">
        <f t="shared" si="83"/>
        <v>0</v>
      </c>
      <c r="AH284" s="16">
        <f t="shared" si="84"/>
        <v>0</v>
      </c>
      <c r="AI284" s="17">
        <f t="shared" si="85"/>
        <v>226</v>
      </c>
      <c r="AJ284" s="12">
        <f>VLOOKUP(A284,'PreK Proxy - Sept. 2024'!$A$2:$I$674,9,FALSE)</f>
        <v>317</v>
      </c>
      <c r="AK284" s="18">
        <f t="shared" si="86"/>
        <v>0.71293375394321767</v>
      </c>
    </row>
    <row r="285" spans="1:37" x14ac:dyDescent="0.35">
      <c r="A285" s="11" t="s">
        <v>578</v>
      </c>
      <c r="B285" s="12" t="s">
        <v>579</v>
      </c>
      <c r="C285" s="54" t="s">
        <v>1417</v>
      </c>
      <c r="D285" s="54" t="s">
        <v>545</v>
      </c>
      <c r="E285" s="66">
        <f t="shared" si="72"/>
        <v>147</v>
      </c>
      <c r="F285" s="13">
        <f t="shared" si="73"/>
        <v>147</v>
      </c>
      <c r="G285" s="67">
        <f t="shared" si="74"/>
        <v>0</v>
      </c>
      <c r="H285" s="64">
        <f t="shared" si="70"/>
        <v>48</v>
      </c>
      <c r="I285" s="80">
        <v>0</v>
      </c>
      <c r="J285" s="80">
        <v>0</v>
      </c>
      <c r="K285" s="59">
        <f t="shared" si="75"/>
        <v>0</v>
      </c>
      <c r="L285" s="59">
        <v>0</v>
      </c>
      <c r="M285" s="59">
        <v>48</v>
      </c>
      <c r="N285" s="59">
        <f t="shared" si="76"/>
        <v>48</v>
      </c>
      <c r="O285" s="15">
        <f t="shared" si="77"/>
        <v>0</v>
      </c>
      <c r="P285" s="87">
        <f t="shared" si="78"/>
        <v>75</v>
      </c>
      <c r="Q285" s="110">
        <v>0</v>
      </c>
      <c r="R285" s="59">
        <v>75</v>
      </c>
      <c r="S285" s="14">
        <v>0</v>
      </c>
      <c r="T285" s="59">
        <v>0</v>
      </c>
      <c r="U285" s="15">
        <f t="shared" si="71"/>
        <v>0</v>
      </c>
      <c r="V285" s="14">
        <v>0</v>
      </c>
      <c r="W285" s="15">
        <f t="shared" si="79"/>
        <v>0</v>
      </c>
      <c r="X285" s="14">
        <v>24</v>
      </c>
      <c r="Y285" s="75">
        <v>0</v>
      </c>
      <c r="Z285" s="87">
        <f t="shared" si="80"/>
        <v>24</v>
      </c>
      <c r="AA285" s="14">
        <f t="shared" si="81"/>
        <v>0</v>
      </c>
      <c r="AB285" s="75">
        <v>0</v>
      </c>
      <c r="AC285" s="75">
        <v>0</v>
      </c>
      <c r="AD285" s="59">
        <f t="shared" si="82"/>
        <v>0</v>
      </c>
      <c r="AE285" s="73">
        <v>0</v>
      </c>
      <c r="AF285" s="73">
        <v>0</v>
      </c>
      <c r="AG285" s="15">
        <f t="shared" si="83"/>
        <v>0</v>
      </c>
      <c r="AH285" s="16">
        <f t="shared" si="84"/>
        <v>0</v>
      </c>
      <c r="AI285" s="17">
        <f t="shared" si="85"/>
        <v>147</v>
      </c>
      <c r="AJ285" s="12">
        <f>VLOOKUP(A285,'PreK Proxy - Sept. 2024'!$A$2:$I$674,9,FALSE)</f>
        <v>211</v>
      </c>
      <c r="AK285" s="18">
        <f t="shared" si="86"/>
        <v>0.69668246445497628</v>
      </c>
    </row>
    <row r="286" spans="1:37" x14ac:dyDescent="0.35">
      <c r="A286" s="11" t="s">
        <v>580</v>
      </c>
      <c r="B286" s="12" t="s">
        <v>581</v>
      </c>
      <c r="C286" s="54" t="s">
        <v>1417</v>
      </c>
      <c r="D286" s="54" t="s">
        <v>545</v>
      </c>
      <c r="E286" s="66">
        <f t="shared" si="72"/>
        <v>36</v>
      </c>
      <c r="F286" s="13">
        <f t="shared" si="73"/>
        <v>36</v>
      </c>
      <c r="G286" s="67">
        <f t="shared" si="74"/>
        <v>0</v>
      </c>
      <c r="H286" s="64">
        <f t="shared" si="70"/>
        <v>36</v>
      </c>
      <c r="I286" s="80">
        <v>0</v>
      </c>
      <c r="J286" s="80">
        <v>0</v>
      </c>
      <c r="K286" s="59">
        <f t="shared" si="75"/>
        <v>0</v>
      </c>
      <c r="L286" s="59">
        <v>0</v>
      </c>
      <c r="M286" s="59">
        <v>36</v>
      </c>
      <c r="N286" s="59">
        <f t="shared" si="76"/>
        <v>36</v>
      </c>
      <c r="O286" s="15">
        <f t="shared" si="77"/>
        <v>0</v>
      </c>
      <c r="P286" s="87">
        <f t="shared" si="78"/>
        <v>0</v>
      </c>
      <c r="Q286" s="110">
        <v>0</v>
      </c>
      <c r="R286" s="59">
        <v>0</v>
      </c>
      <c r="S286" s="14">
        <v>0</v>
      </c>
      <c r="T286" s="59">
        <v>0</v>
      </c>
      <c r="U286" s="15">
        <f t="shared" si="71"/>
        <v>0</v>
      </c>
      <c r="V286" s="14">
        <v>0</v>
      </c>
      <c r="W286" s="15">
        <f t="shared" si="79"/>
        <v>0</v>
      </c>
      <c r="X286" s="14">
        <v>0</v>
      </c>
      <c r="Y286" s="75">
        <v>0</v>
      </c>
      <c r="Z286" s="87">
        <f t="shared" si="80"/>
        <v>0</v>
      </c>
      <c r="AA286" s="14">
        <f t="shared" si="81"/>
        <v>0</v>
      </c>
      <c r="AB286" s="75">
        <v>0</v>
      </c>
      <c r="AC286" s="75">
        <v>0</v>
      </c>
      <c r="AD286" s="59">
        <f t="shared" si="82"/>
        <v>0</v>
      </c>
      <c r="AE286" s="73">
        <v>0</v>
      </c>
      <c r="AF286" s="73">
        <v>0</v>
      </c>
      <c r="AG286" s="15">
        <f t="shared" si="83"/>
        <v>0</v>
      </c>
      <c r="AH286" s="16">
        <f t="shared" si="84"/>
        <v>0</v>
      </c>
      <c r="AI286" s="17">
        <f t="shared" si="85"/>
        <v>36</v>
      </c>
      <c r="AJ286" s="12">
        <f>VLOOKUP(A286,'PreK Proxy - Sept. 2024'!$A$2:$I$674,9,FALSE)</f>
        <v>322</v>
      </c>
      <c r="AK286" s="18">
        <f t="shared" si="86"/>
        <v>0.11180124223602485</v>
      </c>
    </row>
    <row r="287" spans="1:37" x14ac:dyDescent="0.35">
      <c r="A287" s="11" t="s">
        <v>582</v>
      </c>
      <c r="B287" s="12" t="s">
        <v>583</v>
      </c>
      <c r="C287" s="54" t="s">
        <v>1417</v>
      </c>
      <c r="D287" s="54" t="s">
        <v>545</v>
      </c>
      <c r="E287" s="66">
        <f t="shared" si="72"/>
        <v>49</v>
      </c>
      <c r="F287" s="13">
        <f t="shared" si="73"/>
        <v>49</v>
      </c>
      <c r="G287" s="67">
        <f t="shared" si="74"/>
        <v>0</v>
      </c>
      <c r="H287" s="64">
        <f t="shared" si="70"/>
        <v>23</v>
      </c>
      <c r="I287" s="80">
        <v>0</v>
      </c>
      <c r="J287" s="80">
        <v>0</v>
      </c>
      <c r="K287" s="59">
        <f t="shared" si="75"/>
        <v>0</v>
      </c>
      <c r="L287" s="59">
        <v>0</v>
      </c>
      <c r="M287" s="59">
        <v>23</v>
      </c>
      <c r="N287" s="59">
        <f t="shared" si="76"/>
        <v>23</v>
      </c>
      <c r="O287" s="15">
        <f t="shared" si="77"/>
        <v>0</v>
      </c>
      <c r="P287" s="87">
        <f t="shared" si="78"/>
        <v>26</v>
      </c>
      <c r="Q287" s="110">
        <v>0</v>
      </c>
      <c r="R287" s="59">
        <v>26</v>
      </c>
      <c r="S287" s="14">
        <v>0</v>
      </c>
      <c r="T287" s="59">
        <v>0</v>
      </c>
      <c r="U287" s="15">
        <f t="shared" si="71"/>
        <v>0</v>
      </c>
      <c r="V287" s="14">
        <v>0</v>
      </c>
      <c r="W287" s="15">
        <f t="shared" si="79"/>
        <v>0</v>
      </c>
      <c r="X287" s="14">
        <v>0</v>
      </c>
      <c r="Y287" s="75">
        <v>0</v>
      </c>
      <c r="Z287" s="87">
        <f t="shared" si="80"/>
        <v>0</v>
      </c>
      <c r="AA287" s="14">
        <f t="shared" si="81"/>
        <v>0</v>
      </c>
      <c r="AB287" s="75">
        <v>0</v>
      </c>
      <c r="AC287" s="75">
        <v>0</v>
      </c>
      <c r="AD287" s="59">
        <f t="shared" si="82"/>
        <v>0</v>
      </c>
      <c r="AE287" s="73">
        <v>0</v>
      </c>
      <c r="AF287" s="73">
        <v>0</v>
      </c>
      <c r="AG287" s="15">
        <f t="shared" si="83"/>
        <v>0</v>
      </c>
      <c r="AH287" s="16">
        <f t="shared" si="84"/>
        <v>0</v>
      </c>
      <c r="AI287" s="17">
        <f t="shared" si="85"/>
        <v>49</v>
      </c>
      <c r="AJ287" s="12">
        <f>VLOOKUP(A287,'PreK Proxy - Sept. 2024'!$A$2:$I$674,9,FALSE)</f>
        <v>65</v>
      </c>
      <c r="AK287" s="18">
        <f t="shared" si="86"/>
        <v>0.75384615384615383</v>
      </c>
    </row>
    <row r="288" spans="1:37" x14ac:dyDescent="0.35">
      <c r="A288" s="11" t="s">
        <v>584</v>
      </c>
      <c r="B288" s="12" t="s">
        <v>585</v>
      </c>
      <c r="C288" s="54" t="s">
        <v>1417</v>
      </c>
      <c r="D288" s="54" t="s">
        <v>545</v>
      </c>
      <c r="E288" s="66">
        <f t="shared" si="72"/>
        <v>97</v>
      </c>
      <c r="F288" s="13">
        <f t="shared" si="73"/>
        <v>97</v>
      </c>
      <c r="G288" s="67">
        <f t="shared" si="74"/>
        <v>0</v>
      </c>
      <c r="H288" s="64">
        <f t="shared" si="70"/>
        <v>31</v>
      </c>
      <c r="I288" s="80">
        <v>0</v>
      </c>
      <c r="J288" s="80">
        <v>0</v>
      </c>
      <c r="K288" s="59">
        <f t="shared" si="75"/>
        <v>0</v>
      </c>
      <c r="L288" s="59">
        <v>0</v>
      </c>
      <c r="M288" s="59">
        <v>31</v>
      </c>
      <c r="N288" s="59">
        <f t="shared" si="76"/>
        <v>31</v>
      </c>
      <c r="O288" s="15">
        <f t="shared" si="77"/>
        <v>0</v>
      </c>
      <c r="P288" s="87">
        <f t="shared" si="78"/>
        <v>66</v>
      </c>
      <c r="Q288" s="110">
        <v>0</v>
      </c>
      <c r="R288" s="59">
        <v>66</v>
      </c>
      <c r="S288" s="14">
        <v>0</v>
      </c>
      <c r="T288" s="59">
        <v>0</v>
      </c>
      <c r="U288" s="15">
        <f t="shared" si="71"/>
        <v>0</v>
      </c>
      <c r="V288" s="14">
        <v>0</v>
      </c>
      <c r="W288" s="15">
        <f t="shared" si="79"/>
        <v>0</v>
      </c>
      <c r="X288" s="14">
        <v>0</v>
      </c>
      <c r="Y288" s="75">
        <v>0</v>
      </c>
      <c r="Z288" s="87">
        <f t="shared" si="80"/>
        <v>0</v>
      </c>
      <c r="AA288" s="14">
        <f t="shared" si="81"/>
        <v>0</v>
      </c>
      <c r="AB288" s="75">
        <v>0</v>
      </c>
      <c r="AC288" s="75">
        <v>0</v>
      </c>
      <c r="AD288" s="59">
        <f t="shared" si="82"/>
        <v>0</v>
      </c>
      <c r="AE288" s="73">
        <v>0</v>
      </c>
      <c r="AF288" s="73">
        <v>0</v>
      </c>
      <c r="AG288" s="15">
        <f t="shared" si="83"/>
        <v>0</v>
      </c>
      <c r="AH288" s="16">
        <f t="shared" si="84"/>
        <v>0</v>
      </c>
      <c r="AI288" s="17">
        <f t="shared" si="85"/>
        <v>97</v>
      </c>
      <c r="AJ288" s="12">
        <f>VLOOKUP(A288,'PreK Proxy - Sept. 2024'!$A$2:$I$674,9,FALSE)</f>
        <v>172</v>
      </c>
      <c r="AK288" s="18">
        <f t="shared" si="86"/>
        <v>0.56395348837209303</v>
      </c>
    </row>
    <row r="289" spans="1:37" x14ac:dyDescent="0.35">
      <c r="A289" s="11" t="s">
        <v>586</v>
      </c>
      <c r="B289" s="12" t="s">
        <v>587</v>
      </c>
      <c r="C289" s="54" t="s">
        <v>1417</v>
      </c>
      <c r="D289" s="54" t="s">
        <v>545</v>
      </c>
      <c r="E289" s="66">
        <f t="shared" si="72"/>
        <v>77</v>
      </c>
      <c r="F289" s="13">
        <f t="shared" si="73"/>
        <v>77</v>
      </c>
      <c r="G289" s="67">
        <f t="shared" si="74"/>
        <v>0</v>
      </c>
      <c r="H289" s="64">
        <f t="shared" si="70"/>
        <v>0</v>
      </c>
      <c r="I289" s="80">
        <v>0</v>
      </c>
      <c r="J289" s="80">
        <v>0</v>
      </c>
      <c r="K289" s="59">
        <f t="shared" si="75"/>
        <v>0</v>
      </c>
      <c r="L289" s="59">
        <v>0</v>
      </c>
      <c r="M289" s="59">
        <v>0</v>
      </c>
      <c r="N289" s="59">
        <f t="shared" si="76"/>
        <v>0</v>
      </c>
      <c r="O289" s="15">
        <f t="shared" si="77"/>
        <v>0</v>
      </c>
      <c r="P289" s="87">
        <f t="shared" si="78"/>
        <v>77</v>
      </c>
      <c r="Q289" s="110">
        <v>0</v>
      </c>
      <c r="R289" s="59">
        <v>77</v>
      </c>
      <c r="S289" s="14">
        <v>0</v>
      </c>
      <c r="T289" s="59">
        <v>0</v>
      </c>
      <c r="U289" s="15">
        <f t="shared" si="71"/>
        <v>0</v>
      </c>
      <c r="V289" s="14">
        <v>0</v>
      </c>
      <c r="W289" s="15">
        <f t="shared" si="79"/>
        <v>0</v>
      </c>
      <c r="X289" s="14">
        <v>0</v>
      </c>
      <c r="Y289" s="75">
        <v>0</v>
      </c>
      <c r="Z289" s="87">
        <f t="shared" si="80"/>
        <v>0</v>
      </c>
      <c r="AA289" s="14">
        <f t="shared" si="81"/>
        <v>0</v>
      </c>
      <c r="AB289" s="75">
        <v>0</v>
      </c>
      <c r="AC289" s="75">
        <v>0</v>
      </c>
      <c r="AD289" s="59">
        <f t="shared" si="82"/>
        <v>0</v>
      </c>
      <c r="AE289" s="73">
        <v>0</v>
      </c>
      <c r="AF289" s="73">
        <v>0</v>
      </c>
      <c r="AG289" s="15">
        <f t="shared" si="83"/>
        <v>0</v>
      </c>
      <c r="AH289" s="16">
        <f t="shared" si="84"/>
        <v>0</v>
      </c>
      <c r="AI289" s="17">
        <f t="shared" si="85"/>
        <v>77</v>
      </c>
      <c r="AJ289" s="12">
        <f>VLOOKUP(A289,'PreK Proxy - Sept. 2024'!$A$2:$I$674,9,FALSE)</f>
        <v>266</v>
      </c>
      <c r="AK289" s="18">
        <f t="shared" si="86"/>
        <v>0.28947368421052633</v>
      </c>
    </row>
    <row r="290" spans="1:37" x14ac:dyDescent="0.35">
      <c r="A290" s="11" t="s">
        <v>588</v>
      </c>
      <c r="B290" s="12" t="s">
        <v>589</v>
      </c>
      <c r="C290" s="54" t="s">
        <v>1417</v>
      </c>
      <c r="D290" s="54" t="s">
        <v>545</v>
      </c>
      <c r="E290" s="66">
        <f t="shared" si="72"/>
        <v>145</v>
      </c>
      <c r="F290" s="13">
        <f t="shared" si="73"/>
        <v>145</v>
      </c>
      <c r="G290" s="67">
        <f t="shared" si="74"/>
        <v>0</v>
      </c>
      <c r="H290" s="64">
        <f t="shared" si="70"/>
        <v>39</v>
      </c>
      <c r="I290" s="80">
        <v>0</v>
      </c>
      <c r="J290" s="80">
        <v>0</v>
      </c>
      <c r="K290" s="59">
        <f t="shared" si="75"/>
        <v>0</v>
      </c>
      <c r="L290" s="59">
        <v>0</v>
      </c>
      <c r="M290" s="59">
        <v>39</v>
      </c>
      <c r="N290" s="59">
        <f t="shared" si="76"/>
        <v>39</v>
      </c>
      <c r="O290" s="15">
        <f t="shared" si="77"/>
        <v>0</v>
      </c>
      <c r="P290" s="87">
        <f t="shared" si="78"/>
        <v>76</v>
      </c>
      <c r="Q290" s="110">
        <v>0</v>
      </c>
      <c r="R290" s="59">
        <v>76</v>
      </c>
      <c r="S290" s="14">
        <v>0</v>
      </c>
      <c r="T290" s="59">
        <v>0</v>
      </c>
      <c r="U290" s="15">
        <f t="shared" si="71"/>
        <v>0</v>
      </c>
      <c r="V290" s="14">
        <v>0</v>
      </c>
      <c r="W290" s="15">
        <f t="shared" si="79"/>
        <v>0</v>
      </c>
      <c r="X290" s="14">
        <v>30</v>
      </c>
      <c r="Y290" s="75">
        <v>0</v>
      </c>
      <c r="Z290" s="87">
        <f t="shared" si="80"/>
        <v>30</v>
      </c>
      <c r="AA290" s="14">
        <f t="shared" si="81"/>
        <v>0</v>
      </c>
      <c r="AB290" s="75">
        <v>0</v>
      </c>
      <c r="AC290" s="75">
        <v>0</v>
      </c>
      <c r="AD290" s="59">
        <f t="shared" si="82"/>
        <v>0</v>
      </c>
      <c r="AE290" s="73">
        <v>0</v>
      </c>
      <c r="AF290" s="73">
        <v>0</v>
      </c>
      <c r="AG290" s="15">
        <f t="shared" si="83"/>
        <v>0</v>
      </c>
      <c r="AH290" s="16">
        <f t="shared" si="84"/>
        <v>0</v>
      </c>
      <c r="AI290" s="17">
        <f t="shared" si="85"/>
        <v>145</v>
      </c>
      <c r="AJ290" s="12">
        <f>VLOOKUP(A290,'PreK Proxy - Sept. 2024'!$A$2:$I$674,9,FALSE)</f>
        <v>187</v>
      </c>
      <c r="AK290" s="18">
        <f t="shared" si="86"/>
        <v>0.77540106951871657</v>
      </c>
    </row>
    <row r="291" spans="1:37" x14ac:dyDescent="0.35">
      <c r="A291" s="11" t="s">
        <v>590</v>
      </c>
      <c r="B291" s="12" t="s">
        <v>591</v>
      </c>
      <c r="C291" s="54" t="s">
        <v>1417</v>
      </c>
      <c r="D291" s="54" t="s">
        <v>545</v>
      </c>
      <c r="E291" s="66">
        <f t="shared" si="72"/>
        <v>126</v>
      </c>
      <c r="F291" s="13">
        <f t="shared" si="73"/>
        <v>126</v>
      </c>
      <c r="G291" s="67">
        <f t="shared" si="74"/>
        <v>0</v>
      </c>
      <c r="H291" s="64">
        <f t="shared" si="70"/>
        <v>62</v>
      </c>
      <c r="I291" s="80">
        <v>0</v>
      </c>
      <c r="J291" s="80">
        <v>0</v>
      </c>
      <c r="K291" s="59">
        <f t="shared" si="75"/>
        <v>0</v>
      </c>
      <c r="L291" s="59">
        <v>0</v>
      </c>
      <c r="M291" s="59">
        <v>62</v>
      </c>
      <c r="N291" s="59">
        <f t="shared" si="76"/>
        <v>62</v>
      </c>
      <c r="O291" s="15">
        <f t="shared" si="77"/>
        <v>0</v>
      </c>
      <c r="P291" s="87">
        <f t="shared" si="78"/>
        <v>64</v>
      </c>
      <c r="Q291" s="110">
        <v>0</v>
      </c>
      <c r="R291" s="59">
        <v>64</v>
      </c>
      <c r="S291" s="14">
        <v>0</v>
      </c>
      <c r="T291" s="59">
        <v>0</v>
      </c>
      <c r="U291" s="15">
        <f t="shared" si="71"/>
        <v>0</v>
      </c>
      <c r="V291" s="14">
        <v>0</v>
      </c>
      <c r="W291" s="15">
        <f t="shared" si="79"/>
        <v>0</v>
      </c>
      <c r="X291" s="14">
        <v>0</v>
      </c>
      <c r="Y291" s="75">
        <v>0</v>
      </c>
      <c r="Z291" s="87">
        <f t="shared" si="80"/>
        <v>0</v>
      </c>
      <c r="AA291" s="14">
        <f t="shared" si="81"/>
        <v>0</v>
      </c>
      <c r="AB291" s="75">
        <v>0</v>
      </c>
      <c r="AC291" s="75">
        <v>0</v>
      </c>
      <c r="AD291" s="59">
        <f t="shared" si="82"/>
        <v>0</v>
      </c>
      <c r="AE291" s="73">
        <v>0</v>
      </c>
      <c r="AF291" s="73">
        <v>0</v>
      </c>
      <c r="AG291" s="15">
        <f t="shared" si="83"/>
        <v>0</v>
      </c>
      <c r="AH291" s="16">
        <f t="shared" si="84"/>
        <v>0</v>
      </c>
      <c r="AI291" s="17">
        <f t="shared" si="85"/>
        <v>126</v>
      </c>
      <c r="AJ291" s="12">
        <f>VLOOKUP(A291,'PreK Proxy - Sept. 2024'!$A$2:$I$674,9,FALSE)</f>
        <v>176</v>
      </c>
      <c r="AK291" s="18">
        <f t="shared" si="86"/>
        <v>0.71590909090909094</v>
      </c>
    </row>
    <row r="292" spans="1:37" x14ac:dyDescent="0.35">
      <c r="A292" s="11" t="s">
        <v>592</v>
      </c>
      <c r="B292" s="12" t="s">
        <v>593</v>
      </c>
      <c r="C292" s="54" t="s">
        <v>1417</v>
      </c>
      <c r="D292" s="54" t="s">
        <v>545</v>
      </c>
      <c r="E292" s="66">
        <f t="shared" si="72"/>
        <v>64</v>
      </c>
      <c r="F292" s="13">
        <f t="shared" si="73"/>
        <v>64</v>
      </c>
      <c r="G292" s="67">
        <f t="shared" si="74"/>
        <v>0</v>
      </c>
      <c r="H292" s="64">
        <f t="shared" si="70"/>
        <v>16</v>
      </c>
      <c r="I292" s="80">
        <v>0</v>
      </c>
      <c r="J292" s="80">
        <v>0</v>
      </c>
      <c r="K292" s="59">
        <f t="shared" si="75"/>
        <v>0</v>
      </c>
      <c r="L292" s="59">
        <v>0</v>
      </c>
      <c r="M292" s="59">
        <v>16</v>
      </c>
      <c r="N292" s="59">
        <f t="shared" si="76"/>
        <v>16</v>
      </c>
      <c r="O292" s="15">
        <f t="shared" si="77"/>
        <v>0</v>
      </c>
      <c r="P292" s="87">
        <f t="shared" si="78"/>
        <v>48</v>
      </c>
      <c r="Q292" s="110">
        <v>0</v>
      </c>
      <c r="R292" s="59">
        <v>48</v>
      </c>
      <c r="S292" s="14">
        <v>0</v>
      </c>
      <c r="T292" s="59">
        <v>0</v>
      </c>
      <c r="U292" s="15">
        <f t="shared" si="71"/>
        <v>0</v>
      </c>
      <c r="V292" s="14">
        <v>0</v>
      </c>
      <c r="W292" s="15">
        <f t="shared" si="79"/>
        <v>0</v>
      </c>
      <c r="X292" s="14">
        <v>0</v>
      </c>
      <c r="Y292" s="75">
        <v>0</v>
      </c>
      <c r="Z292" s="87">
        <f t="shared" si="80"/>
        <v>0</v>
      </c>
      <c r="AA292" s="14">
        <f t="shared" si="81"/>
        <v>0</v>
      </c>
      <c r="AB292" s="75">
        <v>0</v>
      </c>
      <c r="AC292" s="75">
        <v>0</v>
      </c>
      <c r="AD292" s="59">
        <f t="shared" si="82"/>
        <v>0</v>
      </c>
      <c r="AE292" s="73">
        <v>0</v>
      </c>
      <c r="AF292" s="73">
        <v>0</v>
      </c>
      <c r="AG292" s="15">
        <f t="shared" si="83"/>
        <v>0</v>
      </c>
      <c r="AH292" s="16">
        <f t="shared" si="84"/>
        <v>0</v>
      </c>
      <c r="AI292" s="17">
        <f t="shared" si="85"/>
        <v>64</v>
      </c>
      <c r="AJ292" s="12">
        <f>VLOOKUP(A292,'PreK Proxy - Sept. 2024'!$A$2:$I$674,9,FALSE)</f>
        <v>110</v>
      </c>
      <c r="AK292" s="18">
        <f t="shared" si="86"/>
        <v>0.58181818181818179</v>
      </c>
    </row>
    <row r="293" spans="1:37" x14ac:dyDescent="0.35">
      <c r="A293" s="11" t="s">
        <v>594</v>
      </c>
      <c r="B293" s="12" t="s">
        <v>595</v>
      </c>
      <c r="C293" s="54" t="s">
        <v>1417</v>
      </c>
      <c r="D293" s="54" t="s">
        <v>545</v>
      </c>
      <c r="E293" s="66">
        <f t="shared" si="72"/>
        <v>148</v>
      </c>
      <c r="F293" s="13">
        <f t="shared" si="73"/>
        <v>148</v>
      </c>
      <c r="G293" s="67">
        <f t="shared" si="74"/>
        <v>0</v>
      </c>
      <c r="H293" s="64">
        <f t="shared" si="70"/>
        <v>80</v>
      </c>
      <c r="I293" s="80">
        <v>0</v>
      </c>
      <c r="J293" s="80">
        <v>0</v>
      </c>
      <c r="K293" s="59">
        <f t="shared" si="75"/>
        <v>0</v>
      </c>
      <c r="L293" s="59">
        <v>0</v>
      </c>
      <c r="M293" s="59">
        <v>80</v>
      </c>
      <c r="N293" s="59">
        <f t="shared" si="76"/>
        <v>80</v>
      </c>
      <c r="O293" s="15">
        <f t="shared" si="77"/>
        <v>0</v>
      </c>
      <c r="P293" s="87">
        <f t="shared" si="78"/>
        <v>28</v>
      </c>
      <c r="Q293" s="110">
        <v>0</v>
      </c>
      <c r="R293" s="59">
        <v>28</v>
      </c>
      <c r="S293" s="14">
        <v>40</v>
      </c>
      <c r="T293" s="59">
        <v>0</v>
      </c>
      <c r="U293" s="15">
        <f t="shared" si="71"/>
        <v>40</v>
      </c>
      <c r="V293" s="14">
        <v>0</v>
      </c>
      <c r="W293" s="15">
        <f t="shared" si="79"/>
        <v>0</v>
      </c>
      <c r="X293" s="14">
        <v>0</v>
      </c>
      <c r="Y293" s="75">
        <v>0</v>
      </c>
      <c r="Z293" s="87">
        <f t="shared" si="80"/>
        <v>0</v>
      </c>
      <c r="AA293" s="14">
        <f t="shared" si="81"/>
        <v>0</v>
      </c>
      <c r="AB293" s="75">
        <v>0</v>
      </c>
      <c r="AC293" s="75">
        <v>0</v>
      </c>
      <c r="AD293" s="59">
        <f t="shared" si="82"/>
        <v>0</v>
      </c>
      <c r="AE293" s="73">
        <v>0</v>
      </c>
      <c r="AF293" s="73">
        <v>0</v>
      </c>
      <c r="AG293" s="15">
        <f t="shared" si="83"/>
        <v>0</v>
      </c>
      <c r="AH293" s="16">
        <f t="shared" si="84"/>
        <v>0</v>
      </c>
      <c r="AI293" s="17">
        <f t="shared" si="85"/>
        <v>148</v>
      </c>
      <c r="AJ293" s="12">
        <f>VLOOKUP(A293,'PreK Proxy - Sept. 2024'!$A$2:$I$674,9,FALSE)</f>
        <v>206</v>
      </c>
      <c r="AK293" s="18">
        <f t="shared" si="86"/>
        <v>0.71844660194174759</v>
      </c>
    </row>
    <row r="294" spans="1:37" x14ac:dyDescent="0.35">
      <c r="A294" s="11" t="s">
        <v>596</v>
      </c>
      <c r="B294" s="12" t="s">
        <v>597</v>
      </c>
      <c r="C294" s="54" t="s">
        <v>1417</v>
      </c>
      <c r="D294" s="54" t="s">
        <v>545</v>
      </c>
      <c r="E294" s="66">
        <f t="shared" si="72"/>
        <v>119</v>
      </c>
      <c r="F294" s="13">
        <f t="shared" si="73"/>
        <v>119</v>
      </c>
      <c r="G294" s="67">
        <f t="shared" si="74"/>
        <v>0</v>
      </c>
      <c r="H294" s="64">
        <f t="shared" si="70"/>
        <v>34</v>
      </c>
      <c r="I294" s="80">
        <v>0</v>
      </c>
      <c r="J294" s="80">
        <v>0</v>
      </c>
      <c r="K294" s="59">
        <f t="shared" si="75"/>
        <v>0</v>
      </c>
      <c r="L294" s="59">
        <v>0</v>
      </c>
      <c r="M294" s="59">
        <v>34</v>
      </c>
      <c r="N294" s="59">
        <f t="shared" si="76"/>
        <v>34</v>
      </c>
      <c r="O294" s="15">
        <f t="shared" si="77"/>
        <v>0</v>
      </c>
      <c r="P294" s="87">
        <f t="shared" si="78"/>
        <v>49</v>
      </c>
      <c r="Q294" s="110">
        <v>0</v>
      </c>
      <c r="R294" s="59">
        <v>49</v>
      </c>
      <c r="S294" s="14">
        <v>0</v>
      </c>
      <c r="T294" s="59">
        <v>0</v>
      </c>
      <c r="U294" s="15">
        <f t="shared" si="71"/>
        <v>0</v>
      </c>
      <c r="V294" s="14">
        <v>0</v>
      </c>
      <c r="W294" s="15">
        <f t="shared" si="79"/>
        <v>0</v>
      </c>
      <c r="X294" s="14">
        <v>36</v>
      </c>
      <c r="Y294" s="75">
        <v>0</v>
      </c>
      <c r="Z294" s="87">
        <f t="shared" si="80"/>
        <v>36</v>
      </c>
      <c r="AA294" s="14">
        <f t="shared" si="81"/>
        <v>0</v>
      </c>
      <c r="AB294" s="75">
        <v>0</v>
      </c>
      <c r="AC294" s="75">
        <v>0</v>
      </c>
      <c r="AD294" s="59">
        <f t="shared" si="82"/>
        <v>0</v>
      </c>
      <c r="AE294" s="73">
        <v>0</v>
      </c>
      <c r="AF294" s="73">
        <v>0</v>
      </c>
      <c r="AG294" s="15">
        <f t="shared" si="83"/>
        <v>0</v>
      </c>
      <c r="AH294" s="16">
        <f t="shared" si="84"/>
        <v>0</v>
      </c>
      <c r="AI294" s="17">
        <f t="shared" si="85"/>
        <v>119</v>
      </c>
      <c r="AJ294" s="12">
        <f>VLOOKUP(A294,'PreK Proxy - Sept. 2024'!$A$2:$I$674,9,FALSE)</f>
        <v>100</v>
      </c>
      <c r="AK294" s="18">
        <f t="shared" si="86"/>
        <v>1</v>
      </c>
    </row>
    <row r="295" spans="1:37" x14ac:dyDescent="0.35">
      <c r="A295" s="11" t="s">
        <v>598</v>
      </c>
      <c r="B295" s="12" t="s">
        <v>599</v>
      </c>
      <c r="C295" s="54" t="s">
        <v>1417</v>
      </c>
      <c r="D295" s="54" t="s">
        <v>545</v>
      </c>
      <c r="E295" s="66">
        <f t="shared" si="72"/>
        <v>77</v>
      </c>
      <c r="F295" s="13">
        <f t="shared" si="73"/>
        <v>77</v>
      </c>
      <c r="G295" s="67">
        <f t="shared" si="74"/>
        <v>0</v>
      </c>
      <c r="H295" s="64">
        <f t="shared" si="70"/>
        <v>24</v>
      </c>
      <c r="I295" s="80">
        <v>0</v>
      </c>
      <c r="J295" s="80">
        <v>0</v>
      </c>
      <c r="K295" s="59">
        <f t="shared" si="75"/>
        <v>0</v>
      </c>
      <c r="L295" s="59">
        <v>2</v>
      </c>
      <c r="M295" s="59">
        <v>22</v>
      </c>
      <c r="N295" s="59">
        <f t="shared" si="76"/>
        <v>24</v>
      </c>
      <c r="O295" s="15">
        <f t="shared" si="77"/>
        <v>0</v>
      </c>
      <c r="P295" s="87">
        <f t="shared" si="78"/>
        <v>53</v>
      </c>
      <c r="Q295" s="110">
        <v>0</v>
      </c>
      <c r="R295" s="59">
        <v>53</v>
      </c>
      <c r="S295" s="14">
        <v>0</v>
      </c>
      <c r="T295" s="59">
        <v>0</v>
      </c>
      <c r="U295" s="15">
        <f t="shared" si="71"/>
        <v>0</v>
      </c>
      <c r="V295" s="14">
        <v>0</v>
      </c>
      <c r="W295" s="15">
        <f t="shared" si="79"/>
        <v>0</v>
      </c>
      <c r="X295" s="14">
        <v>0</v>
      </c>
      <c r="Y295" s="75">
        <v>0</v>
      </c>
      <c r="Z295" s="87">
        <f t="shared" si="80"/>
        <v>0</v>
      </c>
      <c r="AA295" s="14">
        <f t="shared" si="81"/>
        <v>0</v>
      </c>
      <c r="AB295" s="75">
        <v>0</v>
      </c>
      <c r="AC295" s="75">
        <v>0</v>
      </c>
      <c r="AD295" s="59">
        <f t="shared" si="82"/>
        <v>0</v>
      </c>
      <c r="AE295" s="73">
        <v>0</v>
      </c>
      <c r="AF295" s="73">
        <v>0</v>
      </c>
      <c r="AG295" s="15">
        <f t="shared" si="83"/>
        <v>0</v>
      </c>
      <c r="AH295" s="16">
        <f t="shared" si="84"/>
        <v>0</v>
      </c>
      <c r="AI295" s="17">
        <f t="shared" si="85"/>
        <v>75</v>
      </c>
      <c r="AJ295" s="12">
        <f>VLOOKUP(A295,'PreK Proxy - Sept. 2024'!$A$2:$I$674,9,FALSE)</f>
        <v>105</v>
      </c>
      <c r="AK295" s="18">
        <f t="shared" si="86"/>
        <v>0.7142857142857143</v>
      </c>
    </row>
    <row r="296" spans="1:37" x14ac:dyDescent="0.35">
      <c r="A296" s="11" t="s">
        <v>600</v>
      </c>
      <c r="B296" s="12" t="s">
        <v>601</v>
      </c>
      <c r="C296" s="54" t="s">
        <v>1417</v>
      </c>
      <c r="D296" s="54" t="s">
        <v>545</v>
      </c>
      <c r="E296" s="66">
        <f t="shared" si="72"/>
        <v>108</v>
      </c>
      <c r="F296" s="13">
        <f t="shared" si="73"/>
        <v>108</v>
      </c>
      <c r="G296" s="67">
        <f t="shared" si="74"/>
        <v>0</v>
      </c>
      <c r="H296" s="64">
        <f t="shared" si="70"/>
        <v>56</v>
      </c>
      <c r="I296" s="80">
        <v>0</v>
      </c>
      <c r="J296" s="80">
        <v>0</v>
      </c>
      <c r="K296" s="59">
        <f t="shared" si="75"/>
        <v>0</v>
      </c>
      <c r="L296" s="59">
        <v>0</v>
      </c>
      <c r="M296" s="59">
        <v>56</v>
      </c>
      <c r="N296" s="59">
        <f t="shared" si="76"/>
        <v>56</v>
      </c>
      <c r="O296" s="15">
        <f t="shared" si="77"/>
        <v>0</v>
      </c>
      <c r="P296" s="87">
        <f t="shared" si="78"/>
        <v>52</v>
      </c>
      <c r="Q296" s="110">
        <v>0</v>
      </c>
      <c r="R296" s="59">
        <v>52</v>
      </c>
      <c r="S296" s="14">
        <v>0</v>
      </c>
      <c r="T296" s="59">
        <v>0</v>
      </c>
      <c r="U296" s="15">
        <f t="shared" si="71"/>
        <v>0</v>
      </c>
      <c r="V296" s="14">
        <v>0</v>
      </c>
      <c r="W296" s="15">
        <f t="shared" si="79"/>
        <v>0</v>
      </c>
      <c r="X296" s="14">
        <v>0</v>
      </c>
      <c r="Y296" s="75">
        <v>0</v>
      </c>
      <c r="Z296" s="87">
        <f t="shared" si="80"/>
        <v>0</v>
      </c>
      <c r="AA296" s="14">
        <f t="shared" si="81"/>
        <v>0</v>
      </c>
      <c r="AB296" s="75">
        <v>0</v>
      </c>
      <c r="AC296" s="75">
        <v>0</v>
      </c>
      <c r="AD296" s="59">
        <f t="shared" si="82"/>
        <v>0</v>
      </c>
      <c r="AE296" s="73">
        <v>0</v>
      </c>
      <c r="AF296" s="73">
        <v>0</v>
      </c>
      <c r="AG296" s="15">
        <f t="shared" si="83"/>
        <v>0</v>
      </c>
      <c r="AH296" s="16">
        <f t="shared" si="84"/>
        <v>0</v>
      </c>
      <c r="AI296" s="17">
        <f t="shared" si="85"/>
        <v>108</v>
      </c>
      <c r="AJ296" s="12">
        <f>VLOOKUP(A296,'PreK Proxy - Sept. 2024'!$A$2:$I$674,9,FALSE)</f>
        <v>145</v>
      </c>
      <c r="AK296" s="18">
        <f t="shared" si="86"/>
        <v>0.7448275862068966</v>
      </c>
    </row>
    <row r="297" spans="1:37" x14ac:dyDescent="0.35">
      <c r="A297" s="11" t="s">
        <v>602</v>
      </c>
      <c r="B297" s="12" t="s">
        <v>603</v>
      </c>
      <c r="C297" s="54" t="s">
        <v>1417</v>
      </c>
      <c r="D297" s="54" t="s">
        <v>545</v>
      </c>
      <c r="E297" s="66">
        <f t="shared" si="72"/>
        <v>114</v>
      </c>
      <c r="F297" s="13">
        <f t="shared" si="73"/>
        <v>114</v>
      </c>
      <c r="G297" s="67">
        <f t="shared" si="74"/>
        <v>0</v>
      </c>
      <c r="H297" s="64">
        <f t="shared" si="70"/>
        <v>61</v>
      </c>
      <c r="I297" s="80">
        <v>0</v>
      </c>
      <c r="J297" s="80">
        <v>0</v>
      </c>
      <c r="K297" s="59">
        <f t="shared" si="75"/>
        <v>0</v>
      </c>
      <c r="L297" s="59">
        <v>0</v>
      </c>
      <c r="M297" s="59">
        <v>61</v>
      </c>
      <c r="N297" s="59">
        <f t="shared" si="76"/>
        <v>61</v>
      </c>
      <c r="O297" s="15">
        <f t="shared" si="77"/>
        <v>0</v>
      </c>
      <c r="P297" s="87">
        <f t="shared" si="78"/>
        <v>53</v>
      </c>
      <c r="Q297" s="110">
        <v>0</v>
      </c>
      <c r="R297" s="59">
        <v>53</v>
      </c>
      <c r="S297" s="14">
        <v>0</v>
      </c>
      <c r="T297" s="59">
        <v>0</v>
      </c>
      <c r="U297" s="15">
        <f t="shared" si="71"/>
        <v>0</v>
      </c>
      <c r="V297" s="14">
        <v>0</v>
      </c>
      <c r="W297" s="15">
        <f t="shared" si="79"/>
        <v>0</v>
      </c>
      <c r="X297" s="14">
        <v>0</v>
      </c>
      <c r="Y297" s="75">
        <v>0</v>
      </c>
      <c r="Z297" s="87">
        <f t="shared" si="80"/>
        <v>0</v>
      </c>
      <c r="AA297" s="14">
        <f t="shared" si="81"/>
        <v>0</v>
      </c>
      <c r="AB297" s="75">
        <v>0</v>
      </c>
      <c r="AC297" s="75">
        <v>0</v>
      </c>
      <c r="AD297" s="59">
        <f t="shared" si="82"/>
        <v>0</v>
      </c>
      <c r="AE297" s="73">
        <v>0</v>
      </c>
      <c r="AF297" s="73">
        <v>0</v>
      </c>
      <c r="AG297" s="15">
        <f t="shared" si="83"/>
        <v>0</v>
      </c>
      <c r="AH297" s="16">
        <f t="shared" si="84"/>
        <v>0</v>
      </c>
      <c r="AI297" s="17">
        <f t="shared" si="85"/>
        <v>114</v>
      </c>
      <c r="AJ297" s="12">
        <f>VLOOKUP(A297,'PreK Proxy - Sept. 2024'!$A$2:$I$674,9,FALSE)</f>
        <v>149</v>
      </c>
      <c r="AK297" s="18">
        <f t="shared" si="86"/>
        <v>0.7651006711409396</v>
      </c>
    </row>
    <row r="298" spans="1:37" x14ac:dyDescent="0.35">
      <c r="A298" s="11" t="s">
        <v>604</v>
      </c>
      <c r="B298" s="12" t="s">
        <v>605</v>
      </c>
      <c r="C298" s="54" t="s">
        <v>1417</v>
      </c>
      <c r="D298" s="54" t="s">
        <v>545</v>
      </c>
      <c r="E298" s="66">
        <f t="shared" si="72"/>
        <v>57</v>
      </c>
      <c r="F298" s="13">
        <f t="shared" si="73"/>
        <v>57</v>
      </c>
      <c r="G298" s="67">
        <f t="shared" si="74"/>
        <v>0</v>
      </c>
      <c r="H298" s="64">
        <f t="shared" si="70"/>
        <v>0</v>
      </c>
      <c r="I298" s="80">
        <v>0</v>
      </c>
      <c r="J298" s="80">
        <v>0</v>
      </c>
      <c r="K298" s="59">
        <f t="shared" si="75"/>
        <v>0</v>
      </c>
      <c r="L298" s="59">
        <v>0</v>
      </c>
      <c r="M298" s="59">
        <v>0</v>
      </c>
      <c r="N298" s="59">
        <f t="shared" si="76"/>
        <v>0</v>
      </c>
      <c r="O298" s="15">
        <f t="shared" si="77"/>
        <v>0</v>
      </c>
      <c r="P298" s="87">
        <f t="shared" si="78"/>
        <v>0</v>
      </c>
      <c r="Q298" s="110">
        <v>0</v>
      </c>
      <c r="R298" s="59">
        <v>0</v>
      </c>
      <c r="S298" s="14">
        <v>57</v>
      </c>
      <c r="T298" s="59">
        <v>0</v>
      </c>
      <c r="U298" s="15">
        <f t="shared" si="71"/>
        <v>57</v>
      </c>
      <c r="V298" s="14">
        <v>0</v>
      </c>
      <c r="W298" s="15">
        <f t="shared" si="79"/>
        <v>0</v>
      </c>
      <c r="X298" s="14">
        <v>0</v>
      </c>
      <c r="Y298" s="75">
        <v>0</v>
      </c>
      <c r="Z298" s="87">
        <f t="shared" si="80"/>
        <v>0</v>
      </c>
      <c r="AA298" s="14">
        <f t="shared" si="81"/>
        <v>0</v>
      </c>
      <c r="AB298" s="75">
        <v>0</v>
      </c>
      <c r="AC298" s="75">
        <v>0</v>
      </c>
      <c r="AD298" s="59">
        <f t="shared" si="82"/>
        <v>0</v>
      </c>
      <c r="AE298" s="73">
        <v>0</v>
      </c>
      <c r="AF298" s="73">
        <v>0</v>
      </c>
      <c r="AG298" s="15">
        <f t="shared" si="83"/>
        <v>0</v>
      </c>
      <c r="AH298" s="16">
        <f t="shared" si="84"/>
        <v>0</v>
      </c>
      <c r="AI298" s="17">
        <f t="shared" si="85"/>
        <v>57</v>
      </c>
      <c r="AJ298" s="12">
        <f>VLOOKUP(A298,'PreK Proxy - Sept. 2024'!$A$2:$I$674,9,FALSE)</f>
        <v>51</v>
      </c>
      <c r="AK298" s="18">
        <f t="shared" si="86"/>
        <v>1</v>
      </c>
    </row>
    <row r="299" spans="1:37" x14ac:dyDescent="0.35">
      <c r="A299" s="11" t="s">
        <v>606</v>
      </c>
      <c r="B299" s="12" t="s">
        <v>607</v>
      </c>
      <c r="C299" s="54" t="s">
        <v>1417</v>
      </c>
      <c r="D299" s="54" t="s">
        <v>545</v>
      </c>
      <c r="E299" s="66">
        <f t="shared" si="72"/>
        <v>0</v>
      </c>
      <c r="F299" s="13">
        <f t="shared" si="73"/>
        <v>0</v>
      </c>
      <c r="G299" s="67">
        <f t="shared" si="74"/>
        <v>0</v>
      </c>
      <c r="H299" s="64">
        <f t="shared" si="70"/>
        <v>0</v>
      </c>
      <c r="I299" s="80">
        <v>0</v>
      </c>
      <c r="J299" s="80">
        <v>0</v>
      </c>
      <c r="K299" s="59"/>
      <c r="L299" s="59">
        <v>0</v>
      </c>
      <c r="M299" s="59">
        <v>0</v>
      </c>
      <c r="N299" s="59">
        <f t="shared" si="76"/>
        <v>0</v>
      </c>
      <c r="O299" s="15">
        <f t="shared" si="77"/>
        <v>0</v>
      </c>
      <c r="P299" s="87">
        <f t="shared" si="78"/>
        <v>0</v>
      </c>
      <c r="Q299" s="110">
        <v>0</v>
      </c>
      <c r="R299" s="59">
        <v>0</v>
      </c>
      <c r="S299" s="14">
        <v>0</v>
      </c>
      <c r="T299" s="59">
        <v>0</v>
      </c>
      <c r="U299" s="15">
        <f t="shared" si="71"/>
        <v>0</v>
      </c>
      <c r="V299" s="14">
        <v>0</v>
      </c>
      <c r="W299" s="15">
        <f t="shared" si="79"/>
        <v>0</v>
      </c>
      <c r="X299" s="14">
        <v>0</v>
      </c>
      <c r="Y299" s="75">
        <v>0</v>
      </c>
      <c r="Z299" s="87">
        <f t="shared" si="80"/>
        <v>0</v>
      </c>
      <c r="AA299" s="14">
        <f t="shared" si="81"/>
        <v>0</v>
      </c>
      <c r="AB299" s="75">
        <v>0</v>
      </c>
      <c r="AC299" s="75">
        <v>0</v>
      </c>
      <c r="AD299" s="59">
        <f t="shared" si="82"/>
        <v>0</v>
      </c>
      <c r="AE299" s="73">
        <v>0</v>
      </c>
      <c r="AF299" s="73">
        <v>0</v>
      </c>
      <c r="AG299" s="15">
        <f t="shared" si="83"/>
        <v>0</v>
      </c>
      <c r="AH299" s="16">
        <f t="shared" si="84"/>
        <v>0</v>
      </c>
      <c r="AI299" s="17">
        <f t="shared" si="85"/>
        <v>0</v>
      </c>
      <c r="AJ299" s="12">
        <f>VLOOKUP(A299,'PreK Proxy - Sept. 2024'!$A$2:$I$674,9,FALSE)</f>
        <v>0</v>
      </c>
      <c r="AK299" s="18">
        <f t="shared" si="86"/>
        <v>0</v>
      </c>
    </row>
    <row r="300" spans="1:37" x14ac:dyDescent="0.35">
      <c r="A300" s="11" t="s">
        <v>608</v>
      </c>
      <c r="B300" s="12" t="s">
        <v>609</v>
      </c>
      <c r="C300" s="54" t="s">
        <v>1417</v>
      </c>
      <c r="D300" s="54" t="s">
        <v>545</v>
      </c>
      <c r="E300" s="66">
        <f t="shared" si="72"/>
        <v>0</v>
      </c>
      <c r="F300" s="13">
        <f t="shared" si="73"/>
        <v>0</v>
      </c>
      <c r="G300" s="67">
        <f t="shared" si="74"/>
        <v>0</v>
      </c>
      <c r="H300" s="64">
        <f t="shared" si="70"/>
        <v>0</v>
      </c>
      <c r="I300" s="80">
        <v>0</v>
      </c>
      <c r="J300" s="80">
        <v>0</v>
      </c>
      <c r="K300" s="59"/>
      <c r="L300" s="59">
        <v>0</v>
      </c>
      <c r="M300" s="59">
        <v>0</v>
      </c>
      <c r="N300" s="59">
        <f t="shared" si="76"/>
        <v>0</v>
      </c>
      <c r="O300" s="15">
        <f t="shared" si="77"/>
        <v>0</v>
      </c>
      <c r="P300" s="87">
        <f t="shared" si="78"/>
        <v>0</v>
      </c>
      <c r="Q300" s="110">
        <v>0</v>
      </c>
      <c r="R300" s="59">
        <v>0</v>
      </c>
      <c r="S300" s="14">
        <v>0</v>
      </c>
      <c r="T300" s="59">
        <v>0</v>
      </c>
      <c r="U300" s="15">
        <f t="shared" si="71"/>
        <v>0</v>
      </c>
      <c r="V300" s="14">
        <v>0</v>
      </c>
      <c r="W300" s="15">
        <f t="shared" si="79"/>
        <v>0</v>
      </c>
      <c r="X300" s="14">
        <v>0</v>
      </c>
      <c r="Y300" s="75">
        <v>0</v>
      </c>
      <c r="Z300" s="87">
        <f t="shared" si="80"/>
        <v>0</v>
      </c>
      <c r="AA300" s="14">
        <f t="shared" si="81"/>
        <v>0</v>
      </c>
      <c r="AB300" s="75">
        <v>0</v>
      </c>
      <c r="AC300" s="75">
        <v>0</v>
      </c>
      <c r="AD300" s="59">
        <f t="shared" si="82"/>
        <v>0</v>
      </c>
      <c r="AE300" s="73">
        <v>0</v>
      </c>
      <c r="AF300" s="73">
        <v>0</v>
      </c>
      <c r="AG300" s="15">
        <f t="shared" si="83"/>
        <v>0</v>
      </c>
      <c r="AH300" s="16">
        <f t="shared" si="84"/>
        <v>0</v>
      </c>
      <c r="AI300" s="17">
        <f t="shared" si="85"/>
        <v>0</v>
      </c>
      <c r="AJ300" s="12">
        <f>VLOOKUP(A300,'PreK Proxy - Sept. 2024'!$A$2:$I$674,9,FALSE)</f>
        <v>0</v>
      </c>
      <c r="AK300" s="18">
        <f t="shared" si="86"/>
        <v>0</v>
      </c>
    </row>
    <row r="301" spans="1:37" x14ac:dyDescent="0.35">
      <c r="A301" s="11" t="s">
        <v>610</v>
      </c>
      <c r="B301" s="12" t="s">
        <v>611</v>
      </c>
      <c r="C301" s="54" t="s">
        <v>1417</v>
      </c>
      <c r="D301" s="54" t="s">
        <v>545</v>
      </c>
      <c r="E301" s="66">
        <f t="shared" si="72"/>
        <v>0</v>
      </c>
      <c r="F301" s="13">
        <f t="shared" si="73"/>
        <v>0</v>
      </c>
      <c r="G301" s="67">
        <f t="shared" si="74"/>
        <v>0</v>
      </c>
      <c r="H301" s="64">
        <f t="shared" si="70"/>
        <v>0</v>
      </c>
      <c r="I301" s="80">
        <v>0</v>
      </c>
      <c r="J301" s="80">
        <v>0</v>
      </c>
      <c r="K301" s="59"/>
      <c r="L301" s="59">
        <v>0</v>
      </c>
      <c r="M301" s="59">
        <v>0</v>
      </c>
      <c r="N301" s="59">
        <f t="shared" si="76"/>
        <v>0</v>
      </c>
      <c r="O301" s="15">
        <f t="shared" si="77"/>
        <v>0</v>
      </c>
      <c r="P301" s="87">
        <f t="shared" si="78"/>
        <v>0</v>
      </c>
      <c r="Q301" s="110">
        <v>0</v>
      </c>
      <c r="R301" s="59">
        <v>0</v>
      </c>
      <c r="S301" s="14">
        <v>0</v>
      </c>
      <c r="T301" s="59">
        <v>0</v>
      </c>
      <c r="U301" s="15">
        <f t="shared" si="71"/>
        <v>0</v>
      </c>
      <c r="V301" s="14">
        <v>0</v>
      </c>
      <c r="W301" s="15">
        <f t="shared" si="79"/>
        <v>0</v>
      </c>
      <c r="X301" s="14">
        <v>0</v>
      </c>
      <c r="Y301" s="75">
        <v>0</v>
      </c>
      <c r="Z301" s="87">
        <f t="shared" si="80"/>
        <v>0</v>
      </c>
      <c r="AA301" s="14">
        <f t="shared" si="81"/>
        <v>0</v>
      </c>
      <c r="AB301" s="75">
        <v>0</v>
      </c>
      <c r="AC301" s="75">
        <v>0</v>
      </c>
      <c r="AD301" s="59">
        <f t="shared" si="82"/>
        <v>0</v>
      </c>
      <c r="AE301" s="73">
        <v>0</v>
      </c>
      <c r="AF301" s="73">
        <v>0</v>
      </c>
      <c r="AG301" s="15">
        <f t="shared" si="83"/>
        <v>0</v>
      </c>
      <c r="AH301" s="16">
        <f t="shared" si="84"/>
        <v>0</v>
      </c>
      <c r="AI301" s="17">
        <f t="shared" si="85"/>
        <v>0</v>
      </c>
      <c r="AJ301" s="12">
        <f>VLOOKUP(A301,'PreK Proxy - Sept. 2024'!$A$2:$I$674,9,FALSE)</f>
        <v>0</v>
      </c>
      <c r="AK301" s="18">
        <f t="shared" si="86"/>
        <v>0</v>
      </c>
    </row>
    <row r="302" spans="1:37" x14ac:dyDescent="0.35">
      <c r="A302" s="11" t="s">
        <v>612</v>
      </c>
      <c r="B302" s="12" t="s">
        <v>613</v>
      </c>
      <c r="C302" s="54" t="s">
        <v>1417</v>
      </c>
      <c r="D302" s="54" t="s">
        <v>545</v>
      </c>
      <c r="E302" s="66">
        <f t="shared" si="72"/>
        <v>199</v>
      </c>
      <c r="F302" s="13">
        <f t="shared" si="73"/>
        <v>199</v>
      </c>
      <c r="G302" s="67">
        <f t="shared" si="74"/>
        <v>0</v>
      </c>
      <c r="H302" s="64">
        <f t="shared" si="70"/>
        <v>199</v>
      </c>
      <c r="I302" s="80">
        <v>0</v>
      </c>
      <c r="J302" s="80">
        <v>0</v>
      </c>
      <c r="K302" s="59">
        <f t="shared" si="75"/>
        <v>0</v>
      </c>
      <c r="L302" s="59">
        <v>7</v>
      </c>
      <c r="M302" s="59">
        <v>192</v>
      </c>
      <c r="N302" s="59">
        <f t="shared" si="76"/>
        <v>199</v>
      </c>
      <c r="O302" s="15">
        <f t="shared" si="77"/>
        <v>192</v>
      </c>
      <c r="P302" s="87">
        <f t="shared" si="78"/>
        <v>0</v>
      </c>
      <c r="Q302" s="110">
        <v>0</v>
      </c>
      <c r="R302" s="59">
        <v>0</v>
      </c>
      <c r="S302" s="14">
        <v>0</v>
      </c>
      <c r="T302" s="59">
        <v>0</v>
      </c>
      <c r="U302" s="15">
        <f t="shared" si="71"/>
        <v>0</v>
      </c>
      <c r="V302" s="14">
        <v>0</v>
      </c>
      <c r="W302" s="15">
        <f t="shared" si="79"/>
        <v>0</v>
      </c>
      <c r="X302" s="14">
        <v>0</v>
      </c>
      <c r="Y302" s="75">
        <v>192</v>
      </c>
      <c r="Z302" s="87">
        <f t="shared" si="80"/>
        <v>192</v>
      </c>
      <c r="AA302" s="14">
        <f t="shared" si="81"/>
        <v>0</v>
      </c>
      <c r="AB302" s="75">
        <v>0</v>
      </c>
      <c r="AC302" s="75">
        <v>0</v>
      </c>
      <c r="AD302" s="59">
        <f t="shared" si="82"/>
        <v>0</v>
      </c>
      <c r="AE302" s="73">
        <v>0</v>
      </c>
      <c r="AF302" s="73">
        <v>0</v>
      </c>
      <c r="AG302" s="15">
        <f t="shared" si="83"/>
        <v>0</v>
      </c>
      <c r="AH302" s="16">
        <f t="shared" si="84"/>
        <v>0</v>
      </c>
      <c r="AI302" s="17">
        <f t="shared" si="85"/>
        <v>192</v>
      </c>
      <c r="AJ302" s="12">
        <f>VLOOKUP(A302,'PreK Proxy - Sept. 2024'!$A$2:$I$674,9,FALSE)</f>
        <v>221</v>
      </c>
      <c r="AK302" s="18">
        <f t="shared" si="86"/>
        <v>0.86877828054298645</v>
      </c>
    </row>
    <row r="303" spans="1:37" x14ac:dyDescent="0.35">
      <c r="A303" s="11" t="s">
        <v>614</v>
      </c>
      <c r="B303" s="12" t="s">
        <v>615</v>
      </c>
      <c r="C303" s="54" t="s">
        <v>1417</v>
      </c>
      <c r="D303" s="54" t="s">
        <v>545</v>
      </c>
      <c r="E303" s="66">
        <f t="shared" si="72"/>
        <v>209</v>
      </c>
      <c r="F303" s="13">
        <f t="shared" si="73"/>
        <v>47</v>
      </c>
      <c r="G303" s="67">
        <f t="shared" si="74"/>
        <v>162</v>
      </c>
      <c r="H303" s="64">
        <f t="shared" si="70"/>
        <v>209</v>
      </c>
      <c r="I303" s="80">
        <v>0</v>
      </c>
      <c r="J303" s="80">
        <v>162</v>
      </c>
      <c r="K303" s="59">
        <f t="shared" si="75"/>
        <v>162</v>
      </c>
      <c r="L303" s="59">
        <v>0</v>
      </c>
      <c r="M303" s="59">
        <v>47</v>
      </c>
      <c r="N303" s="59">
        <f t="shared" si="76"/>
        <v>47</v>
      </c>
      <c r="O303" s="15">
        <f t="shared" si="77"/>
        <v>0</v>
      </c>
      <c r="P303" s="87">
        <f t="shared" si="78"/>
        <v>0</v>
      </c>
      <c r="Q303" s="110">
        <v>0</v>
      </c>
      <c r="R303" s="59">
        <v>0</v>
      </c>
      <c r="S303" s="14">
        <v>0</v>
      </c>
      <c r="T303" s="59">
        <v>0</v>
      </c>
      <c r="U303" s="15">
        <f t="shared" si="71"/>
        <v>0</v>
      </c>
      <c r="V303" s="14">
        <v>0</v>
      </c>
      <c r="W303" s="15">
        <f t="shared" si="79"/>
        <v>0</v>
      </c>
      <c r="X303" s="14">
        <v>0</v>
      </c>
      <c r="Y303" s="75">
        <v>0</v>
      </c>
      <c r="Z303" s="87">
        <f t="shared" si="80"/>
        <v>0</v>
      </c>
      <c r="AA303" s="14">
        <f t="shared" si="81"/>
        <v>0</v>
      </c>
      <c r="AB303" s="75">
        <v>0</v>
      </c>
      <c r="AC303" s="75">
        <v>0</v>
      </c>
      <c r="AD303" s="59">
        <f t="shared" si="82"/>
        <v>0</v>
      </c>
      <c r="AE303" s="73">
        <v>0</v>
      </c>
      <c r="AF303" s="73">
        <v>0</v>
      </c>
      <c r="AG303" s="15">
        <f t="shared" si="83"/>
        <v>0</v>
      </c>
      <c r="AH303" s="16">
        <f t="shared" si="84"/>
        <v>162</v>
      </c>
      <c r="AI303" s="17">
        <f t="shared" si="85"/>
        <v>47</v>
      </c>
      <c r="AJ303" s="12">
        <f>VLOOKUP(A303,'PreK Proxy - Sept. 2024'!$A$2:$I$674,9,FALSE)</f>
        <v>317</v>
      </c>
      <c r="AK303" s="18">
        <f t="shared" si="86"/>
        <v>0.65930599369085174</v>
      </c>
    </row>
    <row r="304" spans="1:37" x14ac:dyDescent="0.35">
      <c r="A304" s="11" t="s">
        <v>616</v>
      </c>
      <c r="B304" s="12" t="s">
        <v>617</v>
      </c>
      <c r="C304" s="54" t="s">
        <v>1417</v>
      </c>
      <c r="D304" s="54" t="s">
        <v>545</v>
      </c>
      <c r="E304" s="66">
        <f t="shared" si="72"/>
        <v>40</v>
      </c>
      <c r="F304" s="13">
        <f t="shared" si="73"/>
        <v>40</v>
      </c>
      <c r="G304" s="67">
        <f t="shared" si="74"/>
        <v>0</v>
      </c>
      <c r="H304" s="64">
        <f t="shared" si="70"/>
        <v>40</v>
      </c>
      <c r="I304" s="80">
        <v>0</v>
      </c>
      <c r="J304" s="80">
        <v>0</v>
      </c>
      <c r="K304" s="59">
        <f t="shared" si="75"/>
        <v>0</v>
      </c>
      <c r="L304" s="59">
        <v>1</v>
      </c>
      <c r="M304" s="59">
        <v>39</v>
      </c>
      <c r="N304" s="59">
        <f t="shared" si="76"/>
        <v>40</v>
      </c>
      <c r="O304" s="15">
        <f t="shared" si="77"/>
        <v>0</v>
      </c>
      <c r="P304" s="87">
        <f t="shared" si="78"/>
        <v>0</v>
      </c>
      <c r="Q304" s="110">
        <v>0</v>
      </c>
      <c r="R304" s="59">
        <v>0</v>
      </c>
      <c r="S304" s="14">
        <v>0</v>
      </c>
      <c r="T304" s="59">
        <v>0</v>
      </c>
      <c r="U304" s="15">
        <f t="shared" si="71"/>
        <v>0</v>
      </c>
      <c r="V304" s="14">
        <v>0</v>
      </c>
      <c r="W304" s="15">
        <f t="shared" si="79"/>
        <v>0</v>
      </c>
      <c r="X304" s="14">
        <v>0</v>
      </c>
      <c r="Y304" s="75">
        <v>0</v>
      </c>
      <c r="Z304" s="87">
        <f t="shared" si="80"/>
        <v>0</v>
      </c>
      <c r="AA304" s="14">
        <f t="shared" si="81"/>
        <v>0</v>
      </c>
      <c r="AB304" s="75">
        <v>0</v>
      </c>
      <c r="AC304" s="75">
        <v>0</v>
      </c>
      <c r="AD304" s="59">
        <f t="shared" si="82"/>
        <v>0</v>
      </c>
      <c r="AE304" s="73">
        <v>0</v>
      </c>
      <c r="AF304" s="73">
        <v>0</v>
      </c>
      <c r="AG304" s="15">
        <f t="shared" si="83"/>
        <v>0</v>
      </c>
      <c r="AH304" s="16">
        <f t="shared" si="84"/>
        <v>0</v>
      </c>
      <c r="AI304" s="17">
        <f t="shared" si="85"/>
        <v>39</v>
      </c>
      <c r="AJ304" s="12">
        <f>VLOOKUP(A304,'PreK Proxy - Sept. 2024'!$A$2:$I$674,9,FALSE)</f>
        <v>81</v>
      </c>
      <c r="AK304" s="18">
        <f t="shared" si="86"/>
        <v>0.48148148148148145</v>
      </c>
    </row>
    <row r="305" spans="1:37" x14ac:dyDescent="0.35">
      <c r="A305" s="11" t="s">
        <v>618</v>
      </c>
      <c r="B305" s="12" t="s">
        <v>619</v>
      </c>
      <c r="C305" s="54" t="s">
        <v>1417</v>
      </c>
      <c r="D305" s="54" t="s">
        <v>545</v>
      </c>
      <c r="E305" s="66">
        <f t="shared" si="72"/>
        <v>48</v>
      </c>
      <c r="F305" s="13">
        <f t="shared" si="73"/>
        <v>48</v>
      </c>
      <c r="G305" s="67">
        <f t="shared" si="74"/>
        <v>0</v>
      </c>
      <c r="H305" s="64">
        <f t="shared" si="70"/>
        <v>48</v>
      </c>
      <c r="I305" s="80">
        <v>0</v>
      </c>
      <c r="J305" s="80">
        <v>0</v>
      </c>
      <c r="K305" s="59">
        <f t="shared" si="75"/>
        <v>0</v>
      </c>
      <c r="L305" s="59">
        <v>0</v>
      </c>
      <c r="M305" s="59">
        <v>48</v>
      </c>
      <c r="N305" s="59">
        <f t="shared" si="76"/>
        <v>48</v>
      </c>
      <c r="O305" s="15">
        <f t="shared" si="77"/>
        <v>0</v>
      </c>
      <c r="P305" s="87">
        <f t="shared" si="78"/>
        <v>0</v>
      </c>
      <c r="Q305" s="110">
        <v>0</v>
      </c>
      <c r="R305" s="59">
        <v>0</v>
      </c>
      <c r="S305" s="14">
        <v>0</v>
      </c>
      <c r="T305" s="59">
        <v>0</v>
      </c>
      <c r="U305" s="15">
        <f t="shared" si="71"/>
        <v>0</v>
      </c>
      <c r="V305" s="14">
        <v>0</v>
      </c>
      <c r="W305" s="15">
        <f t="shared" si="79"/>
        <v>0</v>
      </c>
      <c r="X305" s="14">
        <v>0</v>
      </c>
      <c r="Y305" s="75">
        <v>0</v>
      </c>
      <c r="Z305" s="87">
        <f t="shared" si="80"/>
        <v>0</v>
      </c>
      <c r="AA305" s="14">
        <f t="shared" si="81"/>
        <v>0</v>
      </c>
      <c r="AB305" s="75">
        <v>0</v>
      </c>
      <c r="AC305" s="75">
        <v>0</v>
      </c>
      <c r="AD305" s="59">
        <f t="shared" si="82"/>
        <v>0</v>
      </c>
      <c r="AE305" s="73">
        <v>0</v>
      </c>
      <c r="AF305" s="73">
        <v>0</v>
      </c>
      <c r="AG305" s="15">
        <f t="shared" si="83"/>
        <v>0</v>
      </c>
      <c r="AH305" s="16">
        <f t="shared" si="84"/>
        <v>0</v>
      </c>
      <c r="AI305" s="17">
        <f t="shared" si="85"/>
        <v>48</v>
      </c>
      <c r="AJ305" s="12">
        <f>VLOOKUP(A305,'PreK Proxy - Sept. 2024'!$A$2:$I$674,9,FALSE)</f>
        <v>157</v>
      </c>
      <c r="AK305" s="18">
        <f t="shared" si="86"/>
        <v>0.30573248407643311</v>
      </c>
    </row>
    <row r="306" spans="1:37" x14ac:dyDescent="0.35">
      <c r="A306" s="11" t="s">
        <v>620</v>
      </c>
      <c r="B306" s="12" t="s">
        <v>621</v>
      </c>
      <c r="C306" s="54" t="s">
        <v>1417</v>
      </c>
      <c r="D306" s="54" t="s">
        <v>545</v>
      </c>
      <c r="E306" s="66">
        <f t="shared" si="72"/>
        <v>187</v>
      </c>
      <c r="F306" s="13">
        <f t="shared" si="73"/>
        <v>187</v>
      </c>
      <c r="G306" s="67">
        <f t="shared" si="74"/>
        <v>0</v>
      </c>
      <c r="H306" s="64">
        <f t="shared" si="70"/>
        <v>187</v>
      </c>
      <c r="I306" s="80">
        <v>0</v>
      </c>
      <c r="J306" s="80">
        <v>0</v>
      </c>
      <c r="K306" s="59">
        <f t="shared" si="75"/>
        <v>0</v>
      </c>
      <c r="L306" s="59">
        <v>0</v>
      </c>
      <c r="M306" s="59">
        <v>187</v>
      </c>
      <c r="N306" s="59">
        <f t="shared" si="76"/>
        <v>187</v>
      </c>
      <c r="O306" s="15">
        <f t="shared" si="77"/>
        <v>0</v>
      </c>
      <c r="P306" s="87">
        <f t="shared" si="78"/>
        <v>0</v>
      </c>
      <c r="Q306" s="110">
        <v>0</v>
      </c>
      <c r="R306" s="59">
        <v>0</v>
      </c>
      <c r="S306" s="14">
        <v>0</v>
      </c>
      <c r="T306" s="59">
        <v>0</v>
      </c>
      <c r="U306" s="15">
        <f t="shared" si="71"/>
        <v>0</v>
      </c>
      <c r="V306" s="14">
        <v>0</v>
      </c>
      <c r="W306" s="15">
        <f t="shared" si="79"/>
        <v>0</v>
      </c>
      <c r="X306" s="14">
        <v>0</v>
      </c>
      <c r="Y306" s="75">
        <v>0</v>
      </c>
      <c r="Z306" s="87">
        <f t="shared" si="80"/>
        <v>0</v>
      </c>
      <c r="AA306" s="14">
        <f t="shared" si="81"/>
        <v>0</v>
      </c>
      <c r="AB306" s="75">
        <v>0</v>
      </c>
      <c r="AC306" s="75">
        <v>0</v>
      </c>
      <c r="AD306" s="59">
        <f t="shared" si="82"/>
        <v>0</v>
      </c>
      <c r="AE306" s="73">
        <v>0</v>
      </c>
      <c r="AF306" s="73">
        <v>0</v>
      </c>
      <c r="AG306" s="15">
        <f t="shared" si="83"/>
        <v>0</v>
      </c>
      <c r="AH306" s="16">
        <f t="shared" si="84"/>
        <v>0</v>
      </c>
      <c r="AI306" s="17">
        <f t="shared" si="85"/>
        <v>187</v>
      </c>
      <c r="AJ306" s="12">
        <f>VLOOKUP(A306,'PreK Proxy - Sept. 2024'!$A$2:$I$674,9,FALSE)</f>
        <v>364</v>
      </c>
      <c r="AK306" s="18">
        <f t="shared" si="86"/>
        <v>0.51373626373626369</v>
      </c>
    </row>
    <row r="307" spans="1:37" x14ac:dyDescent="0.35">
      <c r="A307" s="11" t="s">
        <v>622</v>
      </c>
      <c r="B307" s="12" t="s">
        <v>623</v>
      </c>
      <c r="C307" s="54" t="s">
        <v>1417</v>
      </c>
      <c r="D307" s="54" t="s">
        <v>545</v>
      </c>
      <c r="E307" s="66">
        <f t="shared" si="72"/>
        <v>140</v>
      </c>
      <c r="F307" s="13">
        <f t="shared" si="73"/>
        <v>138</v>
      </c>
      <c r="G307" s="67">
        <f t="shared" si="74"/>
        <v>2</v>
      </c>
      <c r="H307" s="64">
        <f t="shared" si="70"/>
        <v>72</v>
      </c>
      <c r="I307" s="80">
        <v>0</v>
      </c>
      <c r="J307" s="80">
        <v>1</v>
      </c>
      <c r="K307" s="59">
        <f t="shared" si="75"/>
        <v>1</v>
      </c>
      <c r="L307" s="59">
        <v>0</v>
      </c>
      <c r="M307" s="59">
        <v>71</v>
      </c>
      <c r="N307" s="59">
        <f t="shared" si="76"/>
        <v>71</v>
      </c>
      <c r="O307" s="15">
        <f t="shared" si="77"/>
        <v>0</v>
      </c>
      <c r="P307" s="87">
        <f t="shared" si="78"/>
        <v>68</v>
      </c>
      <c r="Q307" s="110">
        <v>1</v>
      </c>
      <c r="R307" s="59">
        <v>67</v>
      </c>
      <c r="S307" s="14">
        <v>0</v>
      </c>
      <c r="T307" s="59">
        <v>0</v>
      </c>
      <c r="U307" s="15">
        <f t="shared" si="71"/>
        <v>0</v>
      </c>
      <c r="V307" s="14">
        <v>0</v>
      </c>
      <c r="W307" s="15">
        <f t="shared" si="79"/>
        <v>0</v>
      </c>
      <c r="X307" s="14">
        <v>0</v>
      </c>
      <c r="Y307" s="75">
        <v>0</v>
      </c>
      <c r="Z307" s="87">
        <f t="shared" si="80"/>
        <v>0</v>
      </c>
      <c r="AA307" s="14">
        <f t="shared" si="81"/>
        <v>0</v>
      </c>
      <c r="AB307" s="75">
        <v>0</v>
      </c>
      <c r="AC307" s="75">
        <v>0</v>
      </c>
      <c r="AD307" s="59">
        <f t="shared" si="82"/>
        <v>0</v>
      </c>
      <c r="AE307" s="73">
        <v>0</v>
      </c>
      <c r="AF307" s="73">
        <v>0</v>
      </c>
      <c r="AG307" s="15">
        <f t="shared" si="83"/>
        <v>0</v>
      </c>
      <c r="AH307" s="16">
        <f t="shared" si="84"/>
        <v>2</v>
      </c>
      <c r="AI307" s="17">
        <f t="shared" si="85"/>
        <v>138</v>
      </c>
      <c r="AJ307" s="12">
        <f>VLOOKUP(A307,'PreK Proxy - Sept. 2024'!$A$2:$I$674,9,FALSE)</f>
        <v>183</v>
      </c>
      <c r="AK307" s="18">
        <f t="shared" si="86"/>
        <v>0.76502732240437155</v>
      </c>
    </row>
    <row r="308" spans="1:37" x14ac:dyDescent="0.35">
      <c r="A308" s="11" t="s">
        <v>624</v>
      </c>
      <c r="B308" s="12" t="s">
        <v>625</v>
      </c>
      <c r="C308" s="54" t="s">
        <v>1417</v>
      </c>
      <c r="D308" s="54" t="s">
        <v>545</v>
      </c>
      <c r="E308" s="66">
        <f t="shared" si="72"/>
        <v>0</v>
      </c>
      <c r="F308" s="13">
        <f t="shared" si="73"/>
        <v>0</v>
      </c>
      <c r="G308" s="67">
        <f t="shared" si="74"/>
        <v>0</v>
      </c>
      <c r="H308" s="64">
        <f t="shared" si="70"/>
        <v>0</v>
      </c>
      <c r="I308" s="80">
        <v>0</v>
      </c>
      <c r="J308" s="80">
        <v>0</v>
      </c>
      <c r="K308" s="59">
        <f t="shared" si="75"/>
        <v>0</v>
      </c>
      <c r="L308" s="59">
        <v>0</v>
      </c>
      <c r="M308" s="59">
        <v>0</v>
      </c>
      <c r="N308" s="59">
        <f t="shared" si="76"/>
        <v>0</v>
      </c>
      <c r="O308" s="15">
        <f t="shared" si="77"/>
        <v>0</v>
      </c>
      <c r="P308" s="87">
        <f t="shared" si="78"/>
        <v>0</v>
      </c>
      <c r="Q308" s="110">
        <v>0</v>
      </c>
      <c r="R308" s="59">
        <v>0</v>
      </c>
      <c r="S308" s="14">
        <v>0</v>
      </c>
      <c r="T308" s="59">
        <v>0</v>
      </c>
      <c r="U308" s="15">
        <f t="shared" si="71"/>
        <v>0</v>
      </c>
      <c r="V308" s="14">
        <v>0</v>
      </c>
      <c r="W308" s="15">
        <f t="shared" si="79"/>
        <v>0</v>
      </c>
      <c r="X308" s="14">
        <v>0</v>
      </c>
      <c r="Y308" s="75">
        <v>0</v>
      </c>
      <c r="Z308" s="87">
        <f t="shared" si="80"/>
        <v>0</v>
      </c>
      <c r="AA308" s="14">
        <f t="shared" si="81"/>
        <v>0</v>
      </c>
      <c r="AB308" s="75">
        <v>0</v>
      </c>
      <c r="AC308" s="75">
        <v>0</v>
      </c>
      <c r="AD308" s="59">
        <f t="shared" si="82"/>
        <v>0</v>
      </c>
      <c r="AE308" s="73">
        <v>0</v>
      </c>
      <c r="AF308" s="73">
        <v>0</v>
      </c>
      <c r="AG308" s="15">
        <f t="shared" si="83"/>
        <v>0</v>
      </c>
      <c r="AH308" s="16">
        <f t="shared" si="84"/>
        <v>0</v>
      </c>
      <c r="AI308" s="17">
        <f t="shared" si="85"/>
        <v>0</v>
      </c>
      <c r="AJ308" s="12">
        <f>VLOOKUP(A308,'PreK Proxy - Sept. 2024'!$A$2:$I$674,9,FALSE)</f>
        <v>172</v>
      </c>
      <c r="AK308" s="18">
        <f t="shared" si="86"/>
        <v>0</v>
      </c>
    </row>
    <row r="309" spans="1:37" x14ac:dyDescent="0.35">
      <c r="A309" s="11" t="s">
        <v>626</v>
      </c>
      <c r="B309" s="12" t="s">
        <v>627</v>
      </c>
      <c r="C309" s="54" t="s">
        <v>1417</v>
      </c>
      <c r="D309" s="54" t="s">
        <v>545</v>
      </c>
      <c r="E309" s="66">
        <f t="shared" si="72"/>
        <v>250</v>
      </c>
      <c r="F309" s="13">
        <f t="shared" si="73"/>
        <v>0</v>
      </c>
      <c r="G309" s="67">
        <f t="shared" si="74"/>
        <v>250</v>
      </c>
      <c r="H309" s="64">
        <f t="shared" si="70"/>
        <v>250</v>
      </c>
      <c r="I309" s="80">
        <v>0</v>
      </c>
      <c r="J309" s="80">
        <v>250</v>
      </c>
      <c r="K309" s="59">
        <f t="shared" si="75"/>
        <v>250</v>
      </c>
      <c r="L309" s="59">
        <v>0</v>
      </c>
      <c r="M309" s="59">
        <v>0</v>
      </c>
      <c r="N309" s="59">
        <f t="shared" si="76"/>
        <v>0</v>
      </c>
      <c r="O309" s="15">
        <f t="shared" si="77"/>
        <v>0</v>
      </c>
      <c r="P309" s="87">
        <f t="shared" si="78"/>
        <v>0</v>
      </c>
      <c r="Q309" s="110">
        <v>0</v>
      </c>
      <c r="R309" s="59">
        <v>0</v>
      </c>
      <c r="S309" s="14">
        <v>0</v>
      </c>
      <c r="T309" s="59">
        <v>0</v>
      </c>
      <c r="U309" s="15">
        <f t="shared" si="71"/>
        <v>0</v>
      </c>
      <c r="V309" s="14">
        <v>0</v>
      </c>
      <c r="W309" s="15">
        <f t="shared" si="79"/>
        <v>0</v>
      </c>
      <c r="X309" s="14">
        <v>0</v>
      </c>
      <c r="Y309" s="75">
        <v>0</v>
      </c>
      <c r="Z309" s="87">
        <f t="shared" si="80"/>
        <v>0</v>
      </c>
      <c r="AA309" s="14">
        <f t="shared" si="81"/>
        <v>0</v>
      </c>
      <c r="AB309" s="75">
        <v>0</v>
      </c>
      <c r="AC309" s="75">
        <v>0</v>
      </c>
      <c r="AD309" s="59">
        <f t="shared" si="82"/>
        <v>0</v>
      </c>
      <c r="AE309" s="73">
        <v>0</v>
      </c>
      <c r="AF309" s="73">
        <v>0</v>
      </c>
      <c r="AG309" s="15">
        <f t="shared" si="83"/>
        <v>0</v>
      </c>
      <c r="AH309" s="16">
        <f t="shared" si="84"/>
        <v>250</v>
      </c>
      <c r="AI309" s="17">
        <f t="shared" si="85"/>
        <v>0</v>
      </c>
      <c r="AJ309" s="12">
        <f>VLOOKUP(A309,'PreK Proxy - Sept. 2024'!$A$2:$I$674,9,FALSE)</f>
        <v>374</v>
      </c>
      <c r="AK309" s="18">
        <f t="shared" si="86"/>
        <v>0.66844919786096257</v>
      </c>
    </row>
    <row r="310" spans="1:37" x14ac:dyDescent="0.35">
      <c r="A310" s="11" t="s">
        <v>628</v>
      </c>
      <c r="B310" s="12" t="s">
        <v>629</v>
      </c>
      <c r="C310" s="54" t="s">
        <v>1417</v>
      </c>
      <c r="D310" s="54" t="s">
        <v>545</v>
      </c>
      <c r="E310" s="66">
        <f t="shared" si="72"/>
        <v>140</v>
      </c>
      <c r="F310" s="13">
        <f t="shared" si="73"/>
        <v>140</v>
      </c>
      <c r="G310" s="67">
        <f t="shared" si="74"/>
        <v>0</v>
      </c>
      <c r="H310" s="64">
        <f t="shared" si="70"/>
        <v>140</v>
      </c>
      <c r="I310" s="80">
        <v>0</v>
      </c>
      <c r="J310" s="80">
        <v>0</v>
      </c>
      <c r="K310" s="59">
        <f t="shared" si="75"/>
        <v>0</v>
      </c>
      <c r="L310" s="59">
        <v>0</v>
      </c>
      <c r="M310" s="59">
        <v>140</v>
      </c>
      <c r="N310" s="59">
        <f t="shared" si="76"/>
        <v>140</v>
      </c>
      <c r="O310" s="15">
        <f t="shared" si="77"/>
        <v>0</v>
      </c>
      <c r="P310" s="87">
        <f t="shared" si="78"/>
        <v>0</v>
      </c>
      <c r="Q310" s="110">
        <v>0</v>
      </c>
      <c r="R310" s="59">
        <v>0</v>
      </c>
      <c r="S310" s="14">
        <v>0</v>
      </c>
      <c r="T310" s="59">
        <v>0</v>
      </c>
      <c r="U310" s="15">
        <f t="shared" si="71"/>
        <v>0</v>
      </c>
      <c r="V310" s="14">
        <v>0</v>
      </c>
      <c r="W310" s="15">
        <f t="shared" si="79"/>
        <v>0</v>
      </c>
      <c r="X310" s="14">
        <v>0</v>
      </c>
      <c r="Y310" s="75">
        <v>0</v>
      </c>
      <c r="Z310" s="87">
        <f t="shared" si="80"/>
        <v>0</v>
      </c>
      <c r="AA310" s="14">
        <f t="shared" si="81"/>
        <v>0</v>
      </c>
      <c r="AB310" s="75">
        <v>0</v>
      </c>
      <c r="AC310" s="75">
        <v>0</v>
      </c>
      <c r="AD310" s="59">
        <f t="shared" si="82"/>
        <v>0</v>
      </c>
      <c r="AE310" s="73">
        <v>0</v>
      </c>
      <c r="AF310" s="73">
        <v>0</v>
      </c>
      <c r="AG310" s="15">
        <f t="shared" si="83"/>
        <v>0</v>
      </c>
      <c r="AH310" s="16">
        <f t="shared" si="84"/>
        <v>0</v>
      </c>
      <c r="AI310" s="17">
        <f t="shared" si="85"/>
        <v>140</v>
      </c>
      <c r="AJ310" s="12">
        <f>VLOOKUP(A310,'PreK Proxy - Sept. 2024'!$A$2:$I$674,9,FALSE)</f>
        <v>238</v>
      </c>
      <c r="AK310" s="18">
        <f t="shared" si="86"/>
        <v>0.58823529411764708</v>
      </c>
    </row>
    <row r="311" spans="1:37" x14ac:dyDescent="0.35">
      <c r="A311" s="11" t="s">
        <v>630</v>
      </c>
      <c r="B311" s="12" t="s">
        <v>631</v>
      </c>
      <c r="C311" s="54" t="s">
        <v>1417</v>
      </c>
      <c r="D311" s="54" t="s">
        <v>545</v>
      </c>
      <c r="E311" s="66">
        <f t="shared" si="72"/>
        <v>157</v>
      </c>
      <c r="F311" s="13">
        <f t="shared" si="73"/>
        <v>157</v>
      </c>
      <c r="G311" s="67">
        <f t="shared" si="74"/>
        <v>0</v>
      </c>
      <c r="H311" s="64">
        <f t="shared" si="70"/>
        <v>137</v>
      </c>
      <c r="I311" s="80">
        <v>0</v>
      </c>
      <c r="J311" s="80">
        <v>0</v>
      </c>
      <c r="K311" s="59">
        <f t="shared" si="75"/>
        <v>0</v>
      </c>
      <c r="L311" s="59">
        <v>0</v>
      </c>
      <c r="M311" s="59">
        <v>137</v>
      </c>
      <c r="N311" s="59">
        <f t="shared" si="76"/>
        <v>137</v>
      </c>
      <c r="O311" s="15">
        <f t="shared" si="77"/>
        <v>0</v>
      </c>
      <c r="P311" s="87">
        <f t="shared" si="78"/>
        <v>20</v>
      </c>
      <c r="Q311" s="110">
        <v>0</v>
      </c>
      <c r="R311" s="59">
        <v>20</v>
      </c>
      <c r="S311" s="14">
        <v>0</v>
      </c>
      <c r="T311" s="59">
        <v>0</v>
      </c>
      <c r="U311" s="15">
        <f t="shared" si="71"/>
        <v>0</v>
      </c>
      <c r="V311" s="14">
        <v>0</v>
      </c>
      <c r="W311" s="15">
        <f t="shared" si="79"/>
        <v>0</v>
      </c>
      <c r="X311" s="14">
        <v>0</v>
      </c>
      <c r="Y311" s="75">
        <v>0</v>
      </c>
      <c r="Z311" s="87">
        <f t="shared" si="80"/>
        <v>0</v>
      </c>
      <c r="AA311" s="14">
        <f t="shared" si="81"/>
        <v>0</v>
      </c>
      <c r="AB311" s="75">
        <v>0</v>
      </c>
      <c r="AC311" s="75">
        <v>0</v>
      </c>
      <c r="AD311" s="59">
        <f t="shared" si="82"/>
        <v>0</v>
      </c>
      <c r="AE311" s="73">
        <v>0</v>
      </c>
      <c r="AF311" s="73">
        <v>0</v>
      </c>
      <c r="AG311" s="15">
        <f t="shared" si="83"/>
        <v>0</v>
      </c>
      <c r="AH311" s="16">
        <f t="shared" si="84"/>
        <v>0</v>
      </c>
      <c r="AI311" s="17">
        <f t="shared" si="85"/>
        <v>157</v>
      </c>
      <c r="AJ311" s="12">
        <f>VLOOKUP(A311,'PreK Proxy - Sept. 2024'!$A$2:$I$674,9,FALSE)</f>
        <v>198</v>
      </c>
      <c r="AK311" s="18">
        <f t="shared" si="86"/>
        <v>0.79292929292929293</v>
      </c>
    </row>
    <row r="312" spans="1:37" x14ac:dyDescent="0.35">
      <c r="A312" s="11" t="s">
        <v>632</v>
      </c>
      <c r="B312" s="12" t="s">
        <v>633</v>
      </c>
      <c r="C312" s="54" t="s">
        <v>1417</v>
      </c>
      <c r="D312" s="54" t="s">
        <v>545</v>
      </c>
      <c r="E312" s="66">
        <f t="shared" si="72"/>
        <v>0</v>
      </c>
      <c r="F312" s="13">
        <f t="shared" si="73"/>
        <v>0</v>
      </c>
      <c r="G312" s="67">
        <f t="shared" si="74"/>
        <v>0</v>
      </c>
      <c r="H312" s="64">
        <f t="shared" si="70"/>
        <v>0</v>
      </c>
      <c r="I312" s="80">
        <v>0</v>
      </c>
      <c r="J312" s="80">
        <v>0</v>
      </c>
      <c r="K312" s="59">
        <f t="shared" si="75"/>
        <v>0</v>
      </c>
      <c r="L312" s="59">
        <v>0</v>
      </c>
      <c r="M312" s="59">
        <v>0</v>
      </c>
      <c r="N312" s="59">
        <f t="shared" si="76"/>
        <v>0</v>
      </c>
      <c r="O312" s="15">
        <f t="shared" si="77"/>
        <v>0</v>
      </c>
      <c r="P312" s="87">
        <f t="shared" si="78"/>
        <v>0</v>
      </c>
      <c r="Q312" s="110">
        <v>0</v>
      </c>
      <c r="R312" s="59">
        <v>0</v>
      </c>
      <c r="S312" s="14">
        <v>0</v>
      </c>
      <c r="T312" s="59">
        <v>0</v>
      </c>
      <c r="U312" s="15">
        <f t="shared" si="71"/>
        <v>0</v>
      </c>
      <c r="V312" s="14">
        <v>0</v>
      </c>
      <c r="W312" s="15">
        <f t="shared" si="79"/>
        <v>0</v>
      </c>
      <c r="X312" s="14">
        <v>0</v>
      </c>
      <c r="Y312" s="75">
        <v>0</v>
      </c>
      <c r="Z312" s="87">
        <f t="shared" si="80"/>
        <v>0</v>
      </c>
      <c r="AA312" s="14">
        <f t="shared" si="81"/>
        <v>0</v>
      </c>
      <c r="AB312" s="75">
        <v>0</v>
      </c>
      <c r="AC312" s="75">
        <v>0</v>
      </c>
      <c r="AD312" s="59">
        <f t="shared" si="82"/>
        <v>0</v>
      </c>
      <c r="AE312" s="73">
        <v>0</v>
      </c>
      <c r="AF312" s="73">
        <v>0</v>
      </c>
      <c r="AG312" s="15">
        <f t="shared" si="83"/>
        <v>0</v>
      </c>
      <c r="AH312" s="16">
        <f t="shared" si="84"/>
        <v>0</v>
      </c>
      <c r="AI312" s="17">
        <f t="shared" si="85"/>
        <v>0</v>
      </c>
      <c r="AJ312" s="12">
        <f>VLOOKUP(A312,'PreK Proxy - Sept. 2024'!$A$2:$I$674,9,FALSE)</f>
        <v>85</v>
      </c>
      <c r="AK312" s="18">
        <f t="shared" si="86"/>
        <v>0</v>
      </c>
    </row>
    <row r="313" spans="1:37" x14ac:dyDescent="0.35">
      <c r="A313" s="11" t="s">
        <v>634</v>
      </c>
      <c r="B313" s="12" t="s">
        <v>635</v>
      </c>
      <c r="C313" s="54" t="s">
        <v>1417</v>
      </c>
      <c r="D313" s="54" t="s">
        <v>545</v>
      </c>
      <c r="E313" s="66">
        <f t="shared" si="72"/>
        <v>106</v>
      </c>
      <c r="F313" s="13">
        <f t="shared" si="73"/>
        <v>106</v>
      </c>
      <c r="G313" s="67">
        <f t="shared" si="74"/>
        <v>0</v>
      </c>
      <c r="H313" s="64">
        <f t="shared" si="70"/>
        <v>106</v>
      </c>
      <c r="I313" s="80">
        <v>0</v>
      </c>
      <c r="J313" s="80">
        <v>0</v>
      </c>
      <c r="K313" s="59">
        <f t="shared" si="75"/>
        <v>0</v>
      </c>
      <c r="L313" s="59">
        <v>0</v>
      </c>
      <c r="M313" s="59">
        <v>106</v>
      </c>
      <c r="N313" s="59">
        <f t="shared" si="76"/>
        <v>106</v>
      </c>
      <c r="O313" s="15">
        <f t="shared" si="77"/>
        <v>0</v>
      </c>
      <c r="P313" s="87">
        <f t="shared" si="78"/>
        <v>0</v>
      </c>
      <c r="Q313" s="110">
        <v>0</v>
      </c>
      <c r="R313" s="59">
        <v>0</v>
      </c>
      <c r="S313" s="14">
        <v>0</v>
      </c>
      <c r="T313" s="59">
        <v>0</v>
      </c>
      <c r="U313" s="15">
        <f t="shared" si="71"/>
        <v>0</v>
      </c>
      <c r="V313" s="14">
        <v>0</v>
      </c>
      <c r="W313" s="15">
        <f t="shared" si="79"/>
        <v>0</v>
      </c>
      <c r="X313" s="14">
        <v>0</v>
      </c>
      <c r="Y313" s="75">
        <v>0</v>
      </c>
      <c r="Z313" s="87">
        <f t="shared" si="80"/>
        <v>0</v>
      </c>
      <c r="AA313" s="14">
        <f t="shared" si="81"/>
        <v>0</v>
      </c>
      <c r="AB313" s="75">
        <v>0</v>
      </c>
      <c r="AC313" s="75">
        <v>0</v>
      </c>
      <c r="AD313" s="59">
        <f t="shared" si="82"/>
        <v>0</v>
      </c>
      <c r="AE313" s="73">
        <v>0</v>
      </c>
      <c r="AF313" s="73">
        <v>0</v>
      </c>
      <c r="AG313" s="15">
        <f t="shared" si="83"/>
        <v>0</v>
      </c>
      <c r="AH313" s="16">
        <f t="shared" si="84"/>
        <v>0</v>
      </c>
      <c r="AI313" s="17">
        <f t="shared" si="85"/>
        <v>106</v>
      </c>
      <c r="AJ313" s="12">
        <f>VLOOKUP(A313,'PreK Proxy - Sept. 2024'!$A$2:$I$674,9,FALSE)</f>
        <v>168</v>
      </c>
      <c r="AK313" s="18">
        <f t="shared" si="86"/>
        <v>0.63095238095238093</v>
      </c>
    </row>
    <row r="314" spans="1:37" x14ac:dyDescent="0.35">
      <c r="A314" s="11" t="s">
        <v>636</v>
      </c>
      <c r="B314" s="12" t="s">
        <v>637</v>
      </c>
      <c r="C314" s="54" t="s">
        <v>1417</v>
      </c>
      <c r="D314" s="54" t="s">
        <v>545</v>
      </c>
      <c r="E314" s="66">
        <f t="shared" si="72"/>
        <v>227</v>
      </c>
      <c r="F314" s="13">
        <f t="shared" si="73"/>
        <v>227</v>
      </c>
      <c r="G314" s="67">
        <f t="shared" si="74"/>
        <v>0</v>
      </c>
      <c r="H314" s="64">
        <f t="shared" si="70"/>
        <v>108</v>
      </c>
      <c r="I314" s="80">
        <v>0</v>
      </c>
      <c r="J314" s="80">
        <v>0</v>
      </c>
      <c r="K314" s="59">
        <f t="shared" si="75"/>
        <v>0</v>
      </c>
      <c r="L314" s="59">
        <v>0</v>
      </c>
      <c r="M314" s="59">
        <v>108</v>
      </c>
      <c r="N314" s="59">
        <f t="shared" si="76"/>
        <v>108</v>
      </c>
      <c r="O314" s="15">
        <f t="shared" si="77"/>
        <v>0</v>
      </c>
      <c r="P314" s="87">
        <f t="shared" si="78"/>
        <v>119</v>
      </c>
      <c r="Q314" s="110">
        <v>0</v>
      </c>
      <c r="R314" s="59">
        <v>119</v>
      </c>
      <c r="S314" s="14">
        <v>0</v>
      </c>
      <c r="T314" s="59">
        <v>0</v>
      </c>
      <c r="U314" s="15">
        <f t="shared" si="71"/>
        <v>0</v>
      </c>
      <c r="V314" s="14">
        <v>0</v>
      </c>
      <c r="W314" s="15">
        <f t="shared" si="79"/>
        <v>0</v>
      </c>
      <c r="X314" s="14">
        <v>0</v>
      </c>
      <c r="Y314" s="75">
        <v>0</v>
      </c>
      <c r="Z314" s="87">
        <f t="shared" si="80"/>
        <v>0</v>
      </c>
      <c r="AA314" s="14">
        <f t="shared" si="81"/>
        <v>0</v>
      </c>
      <c r="AB314" s="75">
        <v>0</v>
      </c>
      <c r="AC314" s="75">
        <v>0</v>
      </c>
      <c r="AD314" s="59">
        <f t="shared" si="82"/>
        <v>0</v>
      </c>
      <c r="AE314" s="73">
        <v>0</v>
      </c>
      <c r="AF314" s="73">
        <v>0</v>
      </c>
      <c r="AG314" s="15">
        <f t="shared" si="83"/>
        <v>0</v>
      </c>
      <c r="AH314" s="16">
        <f t="shared" si="84"/>
        <v>0</v>
      </c>
      <c r="AI314" s="17">
        <f t="shared" si="85"/>
        <v>227</v>
      </c>
      <c r="AJ314" s="12">
        <f>VLOOKUP(A314,'PreK Proxy - Sept. 2024'!$A$2:$I$674,9,FALSE)</f>
        <v>345</v>
      </c>
      <c r="AK314" s="18">
        <f t="shared" si="86"/>
        <v>0.65797101449275364</v>
      </c>
    </row>
    <row r="315" spans="1:37" x14ac:dyDescent="0.35">
      <c r="A315" s="11" t="s">
        <v>638</v>
      </c>
      <c r="B315" s="12" t="s">
        <v>639</v>
      </c>
      <c r="C315" s="54" t="s">
        <v>1417</v>
      </c>
      <c r="D315" s="54" t="s">
        <v>545</v>
      </c>
      <c r="E315" s="66">
        <f t="shared" si="72"/>
        <v>36</v>
      </c>
      <c r="F315" s="13">
        <f t="shared" si="73"/>
        <v>36</v>
      </c>
      <c r="G315" s="67">
        <f t="shared" si="74"/>
        <v>0</v>
      </c>
      <c r="H315" s="64">
        <f t="shared" si="70"/>
        <v>36</v>
      </c>
      <c r="I315" s="80">
        <v>0</v>
      </c>
      <c r="J315" s="80">
        <v>0</v>
      </c>
      <c r="K315" s="59">
        <f t="shared" si="75"/>
        <v>0</v>
      </c>
      <c r="L315" s="59">
        <v>0</v>
      </c>
      <c r="M315" s="59">
        <v>36</v>
      </c>
      <c r="N315" s="59">
        <f t="shared" si="76"/>
        <v>36</v>
      </c>
      <c r="O315" s="15">
        <f t="shared" si="77"/>
        <v>0</v>
      </c>
      <c r="P315" s="87">
        <f t="shared" si="78"/>
        <v>0</v>
      </c>
      <c r="Q315" s="110">
        <v>0</v>
      </c>
      <c r="R315" s="59">
        <v>0</v>
      </c>
      <c r="S315" s="14">
        <v>0</v>
      </c>
      <c r="T315" s="59">
        <v>0</v>
      </c>
      <c r="U315" s="15">
        <f t="shared" si="71"/>
        <v>0</v>
      </c>
      <c r="V315" s="14">
        <v>0</v>
      </c>
      <c r="W315" s="15">
        <f t="shared" si="79"/>
        <v>0</v>
      </c>
      <c r="X315" s="14">
        <v>0</v>
      </c>
      <c r="Y315" s="75">
        <v>0</v>
      </c>
      <c r="Z315" s="87">
        <f t="shared" si="80"/>
        <v>0</v>
      </c>
      <c r="AA315" s="14">
        <f t="shared" si="81"/>
        <v>0</v>
      </c>
      <c r="AB315" s="75">
        <v>0</v>
      </c>
      <c r="AC315" s="75">
        <v>0</v>
      </c>
      <c r="AD315" s="59">
        <f t="shared" si="82"/>
        <v>0</v>
      </c>
      <c r="AE315" s="73">
        <v>0</v>
      </c>
      <c r="AF315" s="73">
        <v>0</v>
      </c>
      <c r="AG315" s="15">
        <f t="shared" si="83"/>
        <v>0</v>
      </c>
      <c r="AH315" s="16">
        <f t="shared" si="84"/>
        <v>0</v>
      </c>
      <c r="AI315" s="17">
        <f t="shared" si="85"/>
        <v>36</v>
      </c>
      <c r="AJ315" s="12">
        <f>VLOOKUP(A315,'PreK Proxy - Sept. 2024'!$A$2:$I$674,9,FALSE)</f>
        <v>104</v>
      </c>
      <c r="AK315" s="18">
        <f t="shared" si="86"/>
        <v>0.34615384615384615</v>
      </c>
    </row>
    <row r="316" spans="1:37" x14ac:dyDescent="0.35">
      <c r="A316" s="11" t="s">
        <v>640</v>
      </c>
      <c r="B316" s="12" t="s">
        <v>641</v>
      </c>
      <c r="C316" s="54" t="s">
        <v>1417</v>
      </c>
      <c r="D316" s="54" t="s">
        <v>545</v>
      </c>
      <c r="E316" s="66">
        <f t="shared" si="72"/>
        <v>234</v>
      </c>
      <c r="F316" s="13">
        <f t="shared" si="73"/>
        <v>234</v>
      </c>
      <c r="G316" s="67">
        <f t="shared" si="74"/>
        <v>0</v>
      </c>
      <c r="H316" s="64">
        <f t="shared" si="70"/>
        <v>137</v>
      </c>
      <c r="I316" s="80">
        <v>0</v>
      </c>
      <c r="J316" s="80">
        <v>0</v>
      </c>
      <c r="K316" s="59">
        <f t="shared" si="75"/>
        <v>0</v>
      </c>
      <c r="L316" s="59">
        <v>0</v>
      </c>
      <c r="M316" s="59">
        <v>137</v>
      </c>
      <c r="N316" s="59">
        <f t="shared" si="76"/>
        <v>137</v>
      </c>
      <c r="O316" s="15">
        <f t="shared" si="77"/>
        <v>0</v>
      </c>
      <c r="P316" s="87">
        <f t="shared" si="78"/>
        <v>97</v>
      </c>
      <c r="Q316" s="110">
        <v>0</v>
      </c>
      <c r="R316" s="59">
        <v>97</v>
      </c>
      <c r="S316" s="14">
        <v>0</v>
      </c>
      <c r="T316" s="59">
        <v>0</v>
      </c>
      <c r="U316" s="15">
        <f t="shared" si="71"/>
        <v>0</v>
      </c>
      <c r="V316" s="14">
        <v>0</v>
      </c>
      <c r="W316" s="15">
        <f t="shared" si="79"/>
        <v>0</v>
      </c>
      <c r="X316" s="14">
        <v>0</v>
      </c>
      <c r="Y316" s="75">
        <v>0</v>
      </c>
      <c r="Z316" s="87">
        <f t="shared" si="80"/>
        <v>0</v>
      </c>
      <c r="AA316" s="14">
        <f t="shared" si="81"/>
        <v>0</v>
      </c>
      <c r="AB316" s="75">
        <v>0</v>
      </c>
      <c r="AC316" s="75">
        <v>0</v>
      </c>
      <c r="AD316" s="59">
        <f t="shared" si="82"/>
        <v>0</v>
      </c>
      <c r="AE316" s="73">
        <v>0</v>
      </c>
      <c r="AF316" s="73">
        <v>0</v>
      </c>
      <c r="AG316" s="15">
        <f t="shared" si="83"/>
        <v>0</v>
      </c>
      <c r="AH316" s="16">
        <f t="shared" si="84"/>
        <v>0</v>
      </c>
      <c r="AI316" s="17">
        <f t="shared" si="85"/>
        <v>234</v>
      </c>
      <c r="AJ316" s="12">
        <f>VLOOKUP(A316,'PreK Proxy - Sept. 2024'!$A$2:$I$674,9,FALSE)</f>
        <v>336</v>
      </c>
      <c r="AK316" s="18">
        <f t="shared" si="86"/>
        <v>0.6964285714285714</v>
      </c>
    </row>
    <row r="317" spans="1:37" x14ac:dyDescent="0.35">
      <c r="A317" s="11" t="s">
        <v>642</v>
      </c>
      <c r="B317" s="12" t="s">
        <v>643</v>
      </c>
      <c r="C317" s="54" t="s">
        <v>1417</v>
      </c>
      <c r="D317" s="54" t="s">
        <v>545</v>
      </c>
      <c r="E317" s="66">
        <f t="shared" si="72"/>
        <v>36</v>
      </c>
      <c r="F317" s="13">
        <f t="shared" si="73"/>
        <v>0</v>
      </c>
      <c r="G317" s="67">
        <f t="shared" si="74"/>
        <v>36</v>
      </c>
      <c r="H317" s="64">
        <f t="shared" si="70"/>
        <v>36</v>
      </c>
      <c r="I317" s="80">
        <v>0</v>
      </c>
      <c r="J317" s="80">
        <v>36</v>
      </c>
      <c r="K317" s="59">
        <f t="shared" si="75"/>
        <v>36</v>
      </c>
      <c r="L317" s="59">
        <v>0</v>
      </c>
      <c r="M317" s="59">
        <v>0</v>
      </c>
      <c r="N317" s="59">
        <f t="shared" si="76"/>
        <v>0</v>
      </c>
      <c r="O317" s="15">
        <f t="shared" si="77"/>
        <v>0</v>
      </c>
      <c r="P317" s="87">
        <f t="shared" si="78"/>
        <v>0</v>
      </c>
      <c r="Q317" s="110">
        <v>0</v>
      </c>
      <c r="R317" s="59">
        <v>0</v>
      </c>
      <c r="S317" s="14">
        <v>0</v>
      </c>
      <c r="T317" s="59">
        <v>0</v>
      </c>
      <c r="U317" s="15">
        <f t="shared" si="71"/>
        <v>0</v>
      </c>
      <c r="V317" s="14">
        <v>0</v>
      </c>
      <c r="W317" s="15">
        <f t="shared" si="79"/>
        <v>0</v>
      </c>
      <c r="X317" s="14">
        <v>0</v>
      </c>
      <c r="Y317" s="75">
        <v>0</v>
      </c>
      <c r="Z317" s="87">
        <f t="shared" si="80"/>
        <v>0</v>
      </c>
      <c r="AA317" s="14">
        <f t="shared" si="81"/>
        <v>0</v>
      </c>
      <c r="AB317" s="75">
        <v>0</v>
      </c>
      <c r="AC317" s="75">
        <v>0</v>
      </c>
      <c r="AD317" s="59">
        <f t="shared" si="82"/>
        <v>0</v>
      </c>
      <c r="AE317" s="73">
        <v>0</v>
      </c>
      <c r="AF317" s="73">
        <v>0</v>
      </c>
      <c r="AG317" s="15">
        <f t="shared" si="83"/>
        <v>0</v>
      </c>
      <c r="AH317" s="16">
        <f t="shared" si="84"/>
        <v>36</v>
      </c>
      <c r="AI317" s="17">
        <f t="shared" si="85"/>
        <v>0</v>
      </c>
      <c r="AJ317" s="12">
        <f>VLOOKUP(A317,'PreK Proxy - Sept. 2024'!$A$2:$I$674,9,FALSE)</f>
        <v>100</v>
      </c>
      <c r="AK317" s="18">
        <f t="shared" si="86"/>
        <v>0.36</v>
      </c>
    </row>
    <row r="318" spans="1:37" x14ac:dyDescent="0.35">
      <c r="A318" s="11" t="s">
        <v>644</v>
      </c>
      <c r="B318" s="12" t="s">
        <v>645</v>
      </c>
      <c r="C318" s="54" t="s">
        <v>1417</v>
      </c>
      <c r="D318" s="54" t="s">
        <v>545</v>
      </c>
      <c r="E318" s="66">
        <f t="shared" si="72"/>
        <v>91</v>
      </c>
      <c r="F318" s="13">
        <f t="shared" si="73"/>
        <v>91</v>
      </c>
      <c r="G318" s="67">
        <f t="shared" si="74"/>
        <v>0</v>
      </c>
      <c r="H318" s="64">
        <f t="shared" si="70"/>
        <v>91</v>
      </c>
      <c r="I318" s="80">
        <v>0</v>
      </c>
      <c r="J318" s="80">
        <v>0</v>
      </c>
      <c r="K318" s="59">
        <f t="shared" si="75"/>
        <v>0</v>
      </c>
      <c r="L318" s="59">
        <v>0</v>
      </c>
      <c r="M318" s="59">
        <v>91</v>
      </c>
      <c r="N318" s="59">
        <f t="shared" si="76"/>
        <v>91</v>
      </c>
      <c r="O318" s="15">
        <f t="shared" si="77"/>
        <v>0</v>
      </c>
      <c r="P318" s="87">
        <f t="shared" si="78"/>
        <v>0</v>
      </c>
      <c r="Q318" s="110">
        <v>0</v>
      </c>
      <c r="R318" s="59">
        <v>0</v>
      </c>
      <c r="S318" s="14">
        <v>0</v>
      </c>
      <c r="T318" s="59">
        <v>0</v>
      </c>
      <c r="U318" s="15">
        <f t="shared" si="71"/>
        <v>0</v>
      </c>
      <c r="V318" s="14">
        <v>0</v>
      </c>
      <c r="W318" s="15">
        <f t="shared" si="79"/>
        <v>0</v>
      </c>
      <c r="X318" s="14">
        <v>0</v>
      </c>
      <c r="Y318" s="75">
        <v>0</v>
      </c>
      <c r="Z318" s="87">
        <f t="shared" si="80"/>
        <v>0</v>
      </c>
      <c r="AA318" s="14">
        <f t="shared" si="81"/>
        <v>0</v>
      </c>
      <c r="AB318" s="75">
        <v>0</v>
      </c>
      <c r="AC318" s="75">
        <v>0</v>
      </c>
      <c r="AD318" s="59">
        <f t="shared" si="82"/>
        <v>0</v>
      </c>
      <c r="AE318" s="73">
        <v>0</v>
      </c>
      <c r="AF318" s="73">
        <v>0</v>
      </c>
      <c r="AG318" s="15">
        <f t="shared" si="83"/>
        <v>0</v>
      </c>
      <c r="AH318" s="16">
        <f t="shared" si="84"/>
        <v>0</v>
      </c>
      <c r="AI318" s="17">
        <f t="shared" si="85"/>
        <v>91</v>
      </c>
      <c r="AJ318" s="12">
        <f>VLOOKUP(A318,'PreK Proxy - Sept. 2024'!$A$2:$I$674,9,FALSE)</f>
        <v>119</v>
      </c>
      <c r="AK318" s="18">
        <f t="shared" si="86"/>
        <v>0.76470588235294112</v>
      </c>
    </row>
    <row r="319" spans="1:37" x14ac:dyDescent="0.35">
      <c r="A319" s="11" t="s">
        <v>646</v>
      </c>
      <c r="B319" s="12" t="s">
        <v>647</v>
      </c>
      <c r="C319" s="54" t="s">
        <v>1417</v>
      </c>
      <c r="D319" s="54" t="s">
        <v>545</v>
      </c>
      <c r="E319" s="66">
        <f t="shared" si="72"/>
        <v>178</v>
      </c>
      <c r="F319" s="13">
        <f t="shared" si="73"/>
        <v>178</v>
      </c>
      <c r="G319" s="67">
        <f t="shared" si="74"/>
        <v>0</v>
      </c>
      <c r="H319" s="64">
        <f t="shared" si="70"/>
        <v>61</v>
      </c>
      <c r="I319" s="80">
        <v>0</v>
      </c>
      <c r="J319" s="80">
        <v>0</v>
      </c>
      <c r="K319" s="59">
        <f t="shared" si="75"/>
        <v>0</v>
      </c>
      <c r="L319" s="59">
        <v>0</v>
      </c>
      <c r="M319" s="59">
        <v>61</v>
      </c>
      <c r="N319" s="59">
        <f t="shared" si="76"/>
        <v>61</v>
      </c>
      <c r="O319" s="15">
        <f t="shared" si="77"/>
        <v>0</v>
      </c>
      <c r="P319" s="87">
        <f t="shared" si="78"/>
        <v>117</v>
      </c>
      <c r="Q319" s="110">
        <v>0</v>
      </c>
      <c r="R319" s="59">
        <v>117</v>
      </c>
      <c r="S319" s="14">
        <v>0</v>
      </c>
      <c r="T319" s="59">
        <v>0</v>
      </c>
      <c r="U319" s="15">
        <f t="shared" si="71"/>
        <v>0</v>
      </c>
      <c r="V319" s="14">
        <v>0</v>
      </c>
      <c r="W319" s="15">
        <f t="shared" si="79"/>
        <v>0</v>
      </c>
      <c r="X319" s="14">
        <v>0</v>
      </c>
      <c r="Y319" s="75">
        <v>0</v>
      </c>
      <c r="Z319" s="87">
        <f t="shared" si="80"/>
        <v>0</v>
      </c>
      <c r="AA319" s="14">
        <f t="shared" si="81"/>
        <v>0</v>
      </c>
      <c r="AB319" s="75">
        <v>0</v>
      </c>
      <c r="AC319" s="75">
        <v>0</v>
      </c>
      <c r="AD319" s="59">
        <f t="shared" si="82"/>
        <v>0</v>
      </c>
      <c r="AE319" s="73">
        <v>0</v>
      </c>
      <c r="AF319" s="73">
        <v>0</v>
      </c>
      <c r="AG319" s="15">
        <f t="shared" si="83"/>
        <v>0</v>
      </c>
      <c r="AH319" s="16">
        <f t="shared" si="84"/>
        <v>0</v>
      </c>
      <c r="AI319" s="17">
        <f t="shared" si="85"/>
        <v>178</v>
      </c>
      <c r="AJ319" s="12">
        <f>VLOOKUP(A319,'PreK Proxy - Sept. 2024'!$A$2:$I$674,9,FALSE)</f>
        <v>332</v>
      </c>
      <c r="AK319" s="18">
        <f t="shared" si="86"/>
        <v>0.53614457831325302</v>
      </c>
    </row>
    <row r="320" spans="1:37" x14ac:dyDescent="0.35">
      <c r="A320" s="11" t="s">
        <v>648</v>
      </c>
      <c r="B320" s="12" t="s">
        <v>649</v>
      </c>
      <c r="C320" s="54" t="s">
        <v>1417</v>
      </c>
      <c r="D320" s="54" t="s">
        <v>545</v>
      </c>
      <c r="E320" s="66">
        <f t="shared" si="72"/>
        <v>134</v>
      </c>
      <c r="F320" s="13">
        <f t="shared" si="73"/>
        <v>134</v>
      </c>
      <c r="G320" s="67">
        <f t="shared" si="74"/>
        <v>0</v>
      </c>
      <c r="H320" s="64">
        <f t="shared" si="70"/>
        <v>73</v>
      </c>
      <c r="I320" s="80">
        <v>0</v>
      </c>
      <c r="J320" s="80">
        <v>0</v>
      </c>
      <c r="K320" s="59">
        <f t="shared" si="75"/>
        <v>0</v>
      </c>
      <c r="L320" s="59">
        <v>0</v>
      </c>
      <c r="M320" s="59">
        <v>73</v>
      </c>
      <c r="N320" s="59">
        <f t="shared" si="76"/>
        <v>73</v>
      </c>
      <c r="O320" s="15">
        <f t="shared" si="77"/>
        <v>0</v>
      </c>
      <c r="P320" s="87">
        <f t="shared" si="78"/>
        <v>61</v>
      </c>
      <c r="Q320" s="110">
        <v>0</v>
      </c>
      <c r="R320" s="59">
        <v>61</v>
      </c>
      <c r="S320" s="14">
        <v>0</v>
      </c>
      <c r="T320" s="59">
        <v>0</v>
      </c>
      <c r="U320" s="15">
        <f t="shared" si="71"/>
        <v>0</v>
      </c>
      <c r="V320" s="14">
        <v>0</v>
      </c>
      <c r="W320" s="15">
        <f t="shared" si="79"/>
        <v>0</v>
      </c>
      <c r="X320" s="14">
        <v>0</v>
      </c>
      <c r="Y320" s="75">
        <v>0</v>
      </c>
      <c r="Z320" s="87">
        <f t="shared" si="80"/>
        <v>0</v>
      </c>
      <c r="AA320" s="14">
        <f t="shared" si="81"/>
        <v>0</v>
      </c>
      <c r="AB320" s="75">
        <v>0</v>
      </c>
      <c r="AC320" s="75">
        <v>0</v>
      </c>
      <c r="AD320" s="59">
        <f t="shared" si="82"/>
        <v>0</v>
      </c>
      <c r="AE320" s="73">
        <v>0</v>
      </c>
      <c r="AF320" s="73">
        <v>0</v>
      </c>
      <c r="AG320" s="15">
        <f t="shared" si="83"/>
        <v>0</v>
      </c>
      <c r="AH320" s="16">
        <f t="shared" si="84"/>
        <v>0</v>
      </c>
      <c r="AI320" s="17">
        <f t="shared" si="85"/>
        <v>134</v>
      </c>
      <c r="AJ320" s="12">
        <f>VLOOKUP(A320,'PreK Proxy - Sept. 2024'!$A$2:$I$674,9,FALSE)</f>
        <v>186</v>
      </c>
      <c r="AK320" s="18">
        <f t="shared" si="86"/>
        <v>0.72043010752688175</v>
      </c>
    </row>
    <row r="321" spans="1:37" x14ac:dyDescent="0.35">
      <c r="A321" s="11" t="s">
        <v>650</v>
      </c>
      <c r="B321" s="12" t="s">
        <v>651</v>
      </c>
      <c r="C321" s="54" t="s">
        <v>1417</v>
      </c>
      <c r="D321" s="54" t="s">
        <v>545</v>
      </c>
      <c r="E321" s="66">
        <f t="shared" si="72"/>
        <v>18</v>
      </c>
      <c r="F321" s="13">
        <f t="shared" si="73"/>
        <v>18</v>
      </c>
      <c r="G321" s="67">
        <f t="shared" si="74"/>
        <v>0</v>
      </c>
      <c r="H321" s="64">
        <f t="shared" si="70"/>
        <v>0</v>
      </c>
      <c r="I321" s="80">
        <v>0</v>
      </c>
      <c r="J321" s="80">
        <v>0</v>
      </c>
      <c r="K321" s="59">
        <f t="shared" si="75"/>
        <v>0</v>
      </c>
      <c r="L321" s="59">
        <v>0</v>
      </c>
      <c r="M321" s="59">
        <v>0</v>
      </c>
      <c r="N321" s="59">
        <f t="shared" si="76"/>
        <v>0</v>
      </c>
      <c r="O321" s="15">
        <f t="shared" si="77"/>
        <v>0</v>
      </c>
      <c r="P321" s="87">
        <f t="shared" si="78"/>
        <v>18</v>
      </c>
      <c r="Q321" s="110">
        <v>0</v>
      </c>
      <c r="R321" s="59">
        <v>18</v>
      </c>
      <c r="S321" s="14">
        <v>0</v>
      </c>
      <c r="T321" s="59">
        <v>0</v>
      </c>
      <c r="U321" s="15">
        <f t="shared" si="71"/>
        <v>0</v>
      </c>
      <c r="V321" s="14">
        <v>0</v>
      </c>
      <c r="W321" s="15">
        <f t="shared" si="79"/>
        <v>0</v>
      </c>
      <c r="X321" s="14">
        <v>0</v>
      </c>
      <c r="Y321" s="75">
        <v>0</v>
      </c>
      <c r="Z321" s="87">
        <f t="shared" si="80"/>
        <v>0</v>
      </c>
      <c r="AA321" s="14">
        <f t="shared" si="81"/>
        <v>0</v>
      </c>
      <c r="AB321" s="75">
        <v>0</v>
      </c>
      <c r="AC321" s="75">
        <v>0</v>
      </c>
      <c r="AD321" s="59">
        <f t="shared" si="82"/>
        <v>0</v>
      </c>
      <c r="AE321" s="73">
        <v>0</v>
      </c>
      <c r="AF321" s="73">
        <v>0</v>
      </c>
      <c r="AG321" s="15">
        <f t="shared" si="83"/>
        <v>0</v>
      </c>
      <c r="AH321" s="16">
        <f t="shared" si="84"/>
        <v>0</v>
      </c>
      <c r="AI321" s="17">
        <f t="shared" si="85"/>
        <v>18</v>
      </c>
      <c r="AJ321" s="12">
        <f>VLOOKUP(A321,'PreK Proxy - Sept. 2024'!$A$2:$I$674,9,FALSE)</f>
        <v>147</v>
      </c>
      <c r="AK321" s="18">
        <f t="shared" si="86"/>
        <v>0.12244897959183673</v>
      </c>
    </row>
    <row r="322" spans="1:37" x14ac:dyDescent="0.35">
      <c r="A322" s="11" t="s">
        <v>652</v>
      </c>
      <c r="B322" s="12" t="s">
        <v>653</v>
      </c>
      <c r="C322" s="54" t="s">
        <v>1417</v>
      </c>
      <c r="D322" s="54" t="s">
        <v>545</v>
      </c>
      <c r="E322" s="66">
        <f t="shared" si="72"/>
        <v>161</v>
      </c>
      <c r="F322" s="13">
        <f t="shared" si="73"/>
        <v>54</v>
      </c>
      <c r="G322" s="67">
        <f t="shared" si="74"/>
        <v>107</v>
      </c>
      <c r="H322" s="64">
        <f t="shared" si="70"/>
        <v>125</v>
      </c>
      <c r="I322" s="80">
        <v>0</v>
      </c>
      <c r="J322" s="80">
        <v>107</v>
      </c>
      <c r="K322" s="59">
        <f t="shared" si="75"/>
        <v>107</v>
      </c>
      <c r="L322" s="59">
        <v>0</v>
      </c>
      <c r="M322" s="59">
        <v>18</v>
      </c>
      <c r="N322" s="59">
        <f t="shared" si="76"/>
        <v>18</v>
      </c>
      <c r="O322" s="15">
        <f t="shared" si="77"/>
        <v>0</v>
      </c>
      <c r="P322" s="87">
        <f t="shared" si="78"/>
        <v>0</v>
      </c>
      <c r="Q322" s="110">
        <v>0</v>
      </c>
      <c r="R322" s="59">
        <v>0</v>
      </c>
      <c r="S322" s="14">
        <v>0</v>
      </c>
      <c r="T322" s="59">
        <v>0</v>
      </c>
      <c r="U322" s="15">
        <f t="shared" si="71"/>
        <v>0</v>
      </c>
      <c r="V322" s="14">
        <v>36</v>
      </c>
      <c r="W322" s="15">
        <f t="shared" si="79"/>
        <v>36</v>
      </c>
      <c r="X322" s="14">
        <v>0</v>
      </c>
      <c r="Y322" s="75">
        <v>0</v>
      </c>
      <c r="Z322" s="87">
        <f t="shared" si="80"/>
        <v>0</v>
      </c>
      <c r="AA322" s="14">
        <f t="shared" si="81"/>
        <v>0</v>
      </c>
      <c r="AB322" s="75">
        <v>0</v>
      </c>
      <c r="AC322" s="75">
        <v>0</v>
      </c>
      <c r="AD322" s="59">
        <f t="shared" si="82"/>
        <v>0</v>
      </c>
      <c r="AE322" s="73">
        <v>0</v>
      </c>
      <c r="AF322" s="73">
        <v>0</v>
      </c>
      <c r="AG322" s="15">
        <f t="shared" si="83"/>
        <v>0</v>
      </c>
      <c r="AH322" s="16">
        <f t="shared" si="84"/>
        <v>107</v>
      </c>
      <c r="AI322" s="17">
        <f t="shared" si="85"/>
        <v>54</v>
      </c>
      <c r="AJ322" s="12">
        <f>VLOOKUP(A322,'PreK Proxy - Sept. 2024'!$A$2:$I$674,9,FALSE)</f>
        <v>293</v>
      </c>
      <c r="AK322" s="18">
        <f t="shared" si="86"/>
        <v>0.54948805460750849</v>
      </c>
    </row>
    <row r="323" spans="1:37" x14ac:dyDescent="0.35">
      <c r="A323" s="11" t="s">
        <v>654</v>
      </c>
      <c r="B323" s="12" t="s">
        <v>655</v>
      </c>
      <c r="C323" s="54" t="s">
        <v>1417</v>
      </c>
      <c r="D323" s="54" t="s">
        <v>545</v>
      </c>
      <c r="E323" s="66">
        <f t="shared" si="72"/>
        <v>0</v>
      </c>
      <c r="F323" s="13">
        <f t="shared" si="73"/>
        <v>0</v>
      </c>
      <c r="G323" s="67">
        <f t="shared" si="74"/>
        <v>0</v>
      </c>
      <c r="H323" s="64">
        <f t="shared" ref="H323:H386" si="87">K323+N323</f>
        <v>0</v>
      </c>
      <c r="I323" s="80">
        <v>0</v>
      </c>
      <c r="J323" s="80">
        <v>0</v>
      </c>
      <c r="K323" s="59">
        <f t="shared" si="75"/>
        <v>0</v>
      </c>
      <c r="L323" s="59">
        <v>0</v>
      </c>
      <c r="M323" s="59">
        <v>0</v>
      </c>
      <c r="N323" s="59">
        <f t="shared" si="76"/>
        <v>0</v>
      </c>
      <c r="O323" s="15">
        <f t="shared" si="77"/>
        <v>0</v>
      </c>
      <c r="P323" s="87">
        <f t="shared" si="78"/>
        <v>0</v>
      </c>
      <c r="Q323" s="110">
        <v>0</v>
      </c>
      <c r="R323" s="59">
        <v>0</v>
      </c>
      <c r="S323" s="14">
        <v>0</v>
      </c>
      <c r="T323" s="59">
        <v>0</v>
      </c>
      <c r="U323" s="15">
        <f t="shared" si="71"/>
        <v>0</v>
      </c>
      <c r="V323" s="14">
        <v>0</v>
      </c>
      <c r="W323" s="15">
        <f t="shared" si="79"/>
        <v>0</v>
      </c>
      <c r="X323" s="14">
        <v>0</v>
      </c>
      <c r="Y323" s="75">
        <v>0</v>
      </c>
      <c r="Z323" s="87">
        <f t="shared" si="80"/>
        <v>0</v>
      </c>
      <c r="AA323" s="14">
        <f t="shared" si="81"/>
        <v>0</v>
      </c>
      <c r="AB323" s="75">
        <v>0</v>
      </c>
      <c r="AC323" s="75">
        <v>0</v>
      </c>
      <c r="AD323" s="59">
        <f t="shared" si="82"/>
        <v>0</v>
      </c>
      <c r="AE323" s="73">
        <v>0</v>
      </c>
      <c r="AF323" s="73">
        <v>0</v>
      </c>
      <c r="AG323" s="15">
        <f t="shared" si="83"/>
        <v>0</v>
      </c>
      <c r="AH323" s="16">
        <f t="shared" si="84"/>
        <v>0</v>
      </c>
      <c r="AI323" s="17">
        <f t="shared" si="85"/>
        <v>0</v>
      </c>
      <c r="AJ323" s="12">
        <f>VLOOKUP(A323,'PreK Proxy - Sept. 2024'!$A$2:$I$674,9,FALSE)</f>
        <v>440</v>
      </c>
      <c r="AK323" s="18">
        <f t="shared" si="86"/>
        <v>0</v>
      </c>
    </row>
    <row r="324" spans="1:37" x14ac:dyDescent="0.35">
      <c r="A324" s="11" t="s">
        <v>656</v>
      </c>
      <c r="B324" s="12" t="s">
        <v>657</v>
      </c>
      <c r="C324" s="54" t="s">
        <v>1451</v>
      </c>
      <c r="D324" s="54" t="s">
        <v>658</v>
      </c>
      <c r="E324" s="66">
        <f t="shared" si="72"/>
        <v>95224</v>
      </c>
      <c r="F324" s="13">
        <f t="shared" si="73"/>
        <v>94556</v>
      </c>
      <c r="G324" s="67">
        <f t="shared" si="74"/>
        <v>668</v>
      </c>
      <c r="H324" s="14">
        <f t="shared" si="87"/>
        <v>93937</v>
      </c>
      <c r="I324" s="80">
        <v>0</v>
      </c>
      <c r="J324" s="80">
        <v>668</v>
      </c>
      <c r="K324" s="59">
        <f t="shared" si="75"/>
        <v>668</v>
      </c>
      <c r="L324" s="59">
        <v>35261</v>
      </c>
      <c r="M324" s="59">
        <v>58008</v>
      </c>
      <c r="N324" s="59">
        <f t="shared" si="76"/>
        <v>93269</v>
      </c>
      <c r="O324" s="15">
        <f t="shared" si="77"/>
        <v>53259</v>
      </c>
      <c r="P324" s="87">
        <f t="shared" si="78"/>
        <v>0</v>
      </c>
      <c r="Q324" s="59">
        <v>0</v>
      </c>
      <c r="R324" s="59">
        <v>0</v>
      </c>
      <c r="S324" s="14">
        <v>1287</v>
      </c>
      <c r="T324" s="59">
        <v>53259</v>
      </c>
      <c r="U324" s="15">
        <f t="shared" ref="U324:U387" si="88">S324+T324</f>
        <v>54546</v>
      </c>
      <c r="V324" s="14">
        <v>0</v>
      </c>
      <c r="W324" s="15">
        <f t="shared" si="79"/>
        <v>0</v>
      </c>
      <c r="X324" s="14">
        <v>0</v>
      </c>
      <c r="Y324" s="75">
        <v>0</v>
      </c>
      <c r="Z324" s="87">
        <f t="shared" si="80"/>
        <v>0</v>
      </c>
      <c r="AA324" s="14">
        <f t="shared" si="81"/>
        <v>0</v>
      </c>
      <c r="AB324" s="75">
        <v>0</v>
      </c>
      <c r="AC324" s="75">
        <v>0</v>
      </c>
      <c r="AD324" s="59">
        <f t="shared" si="82"/>
        <v>0</v>
      </c>
      <c r="AE324" s="73">
        <v>0</v>
      </c>
      <c r="AF324" s="73">
        <v>0</v>
      </c>
      <c r="AG324" s="15">
        <f t="shared" si="83"/>
        <v>0</v>
      </c>
      <c r="AH324" s="16">
        <f t="shared" si="84"/>
        <v>668</v>
      </c>
      <c r="AI324" s="17">
        <f t="shared" si="85"/>
        <v>59295</v>
      </c>
      <c r="AJ324" s="12">
        <f>VLOOKUP(A324,'PreK Proxy - Sept. 2024'!$A$2:$I$674,9,FALSE)</f>
        <v>63855</v>
      </c>
      <c r="AK324" s="18">
        <f t="shared" si="86"/>
        <v>0.93904940881685073</v>
      </c>
    </row>
    <row r="325" spans="1:37" x14ac:dyDescent="0.35">
      <c r="A325" s="11" t="s">
        <v>659</v>
      </c>
      <c r="B325" s="12" t="s">
        <v>660</v>
      </c>
      <c r="C325" s="54" t="s">
        <v>1440</v>
      </c>
      <c r="D325" s="54" t="s">
        <v>43</v>
      </c>
      <c r="E325" s="66">
        <f t="shared" ref="E325:E388" si="89">F325+G325</f>
        <v>90</v>
      </c>
      <c r="F325" s="13">
        <f t="shared" ref="F325:F388" si="90">N325+R325+S325+V325+X325+AG325</f>
        <v>90</v>
      </c>
      <c r="G325" s="67">
        <f t="shared" ref="G325:G388" si="91">K325+Q325+AD325</f>
        <v>0</v>
      </c>
      <c r="H325" s="64">
        <f t="shared" si="87"/>
        <v>90</v>
      </c>
      <c r="I325" s="80">
        <v>0</v>
      </c>
      <c r="J325" s="80">
        <v>0</v>
      </c>
      <c r="K325" s="59">
        <f t="shared" ref="K325:K388" si="92">I325+J325</f>
        <v>0</v>
      </c>
      <c r="L325" s="59">
        <v>0</v>
      </c>
      <c r="M325" s="59">
        <v>90</v>
      </c>
      <c r="N325" s="59">
        <f t="shared" ref="N325:N388" si="93">L325+M325</f>
        <v>90</v>
      </c>
      <c r="O325" s="15">
        <f t="shared" ref="O325:O388" si="94">T325+Y325</f>
        <v>0</v>
      </c>
      <c r="P325" s="87">
        <f t="shared" ref="P325:P388" si="95">Q325+R325</f>
        <v>0</v>
      </c>
      <c r="Q325" s="110">
        <v>0</v>
      </c>
      <c r="R325" s="59">
        <v>0</v>
      </c>
      <c r="S325" s="14">
        <v>0</v>
      </c>
      <c r="T325" s="59">
        <v>0</v>
      </c>
      <c r="U325" s="15">
        <f t="shared" si="88"/>
        <v>0</v>
      </c>
      <c r="V325" s="14">
        <v>0</v>
      </c>
      <c r="W325" s="15">
        <f t="shared" ref="W325:W388" si="96">V325</f>
        <v>0</v>
      </c>
      <c r="X325" s="14">
        <v>0</v>
      </c>
      <c r="Y325" s="75">
        <v>0</v>
      </c>
      <c r="Z325" s="87">
        <f t="shared" ref="Z325:Z388" si="97">X325+Y325</f>
        <v>0</v>
      </c>
      <c r="AA325" s="14">
        <f t="shared" ref="AA325:AA388" si="98">AD325+AG325</f>
        <v>0</v>
      </c>
      <c r="AB325" s="75">
        <v>0</v>
      </c>
      <c r="AC325" s="75">
        <v>0</v>
      </c>
      <c r="AD325" s="59">
        <f t="shared" ref="AD325:AD388" si="99">AB325+AC325</f>
        <v>0</v>
      </c>
      <c r="AE325" s="73">
        <v>0</v>
      </c>
      <c r="AF325" s="73">
        <v>0</v>
      </c>
      <c r="AG325" s="15">
        <f t="shared" ref="AG325:AG388" si="100">AE325+AF325</f>
        <v>0</v>
      </c>
      <c r="AH325" s="16">
        <f t="shared" ref="AH325:AH388" si="101">J325+Q325+AC325</f>
        <v>0</v>
      </c>
      <c r="AI325" s="17">
        <f t="shared" ref="AI325:AI388" si="102">M325+R325+S325+V325+X325+AF325</f>
        <v>90</v>
      </c>
      <c r="AJ325" s="12">
        <f>VLOOKUP(A325,'PreK Proxy - Sept. 2024'!$A$2:$I$674,9,FALSE)</f>
        <v>136</v>
      </c>
      <c r="AK325" s="18">
        <f t="shared" ref="AK325:AK388" si="103">IFERROR(MIN(100%,((AI325+AH325)/AJ325)),0)</f>
        <v>0.66176470588235292</v>
      </c>
    </row>
    <row r="326" spans="1:37" x14ac:dyDescent="0.35">
      <c r="A326" s="11" t="s">
        <v>1367</v>
      </c>
      <c r="B326" s="12" t="s">
        <v>661</v>
      </c>
      <c r="C326" s="54" t="s">
        <v>1440</v>
      </c>
      <c r="D326" s="54" t="s">
        <v>43</v>
      </c>
      <c r="E326" s="66">
        <f t="shared" si="89"/>
        <v>141</v>
      </c>
      <c r="F326" s="13">
        <f t="shared" si="90"/>
        <v>76</v>
      </c>
      <c r="G326" s="67">
        <f t="shared" si="91"/>
        <v>65</v>
      </c>
      <c r="H326" s="64">
        <f t="shared" si="87"/>
        <v>141</v>
      </c>
      <c r="I326" s="80">
        <v>0</v>
      </c>
      <c r="J326" s="80">
        <v>65</v>
      </c>
      <c r="K326" s="59">
        <f t="shared" si="92"/>
        <v>65</v>
      </c>
      <c r="L326" s="59">
        <v>0</v>
      </c>
      <c r="M326" s="59">
        <v>76</v>
      </c>
      <c r="N326" s="59">
        <f t="shared" si="93"/>
        <v>76</v>
      </c>
      <c r="O326" s="15">
        <f t="shared" si="94"/>
        <v>0</v>
      </c>
      <c r="P326" s="87">
        <f t="shared" si="95"/>
        <v>0</v>
      </c>
      <c r="Q326" s="110">
        <v>0</v>
      </c>
      <c r="R326" s="59">
        <v>0</v>
      </c>
      <c r="S326" s="14">
        <v>0</v>
      </c>
      <c r="T326" s="59">
        <v>0</v>
      </c>
      <c r="U326" s="15">
        <f t="shared" si="88"/>
        <v>0</v>
      </c>
      <c r="V326" s="14">
        <v>0</v>
      </c>
      <c r="W326" s="15">
        <f t="shared" si="96"/>
        <v>0</v>
      </c>
      <c r="X326" s="14">
        <v>0</v>
      </c>
      <c r="Y326" s="75">
        <v>0</v>
      </c>
      <c r="Z326" s="87">
        <f t="shared" si="97"/>
        <v>0</v>
      </c>
      <c r="AA326" s="14">
        <f t="shared" si="98"/>
        <v>0</v>
      </c>
      <c r="AB326" s="75">
        <v>0</v>
      </c>
      <c r="AC326" s="75">
        <v>0</v>
      </c>
      <c r="AD326" s="59">
        <f t="shared" si="99"/>
        <v>0</v>
      </c>
      <c r="AE326" s="73">
        <v>0</v>
      </c>
      <c r="AF326" s="73">
        <v>0</v>
      </c>
      <c r="AG326" s="15">
        <f t="shared" si="100"/>
        <v>0</v>
      </c>
      <c r="AH326" s="16">
        <f t="shared" si="101"/>
        <v>65</v>
      </c>
      <c r="AI326" s="17">
        <f t="shared" si="102"/>
        <v>76</v>
      </c>
      <c r="AJ326" s="12">
        <f>VLOOKUP(A326,'PreK Proxy - Sept. 2024'!$A$2:$I$674,9,FALSE)</f>
        <v>266</v>
      </c>
      <c r="AK326" s="18">
        <f t="shared" si="103"/>
        <v>0.53007518796992481</v>
      </c>
    </row>
    <row r="327" spans="1:37" x14ac:dyDescent="0.35">
      <c r="A327" s="11" t="s">
        <v>662</v>
      </c>
      <c r="B327" s="12" t="s">
        <v>663</v>
      </c>
      <c r="C327" s="54" t="s">
        <v>1440</v>
      </c>
      <c r="D327" s="54" t="s">
        <v>43</v>
      </c>
      <c r="E327" s="66">
        <f t="shared" si="89"/>
        <v>73</v>
      </c>
      <c r="F327" s="13">
        <f t="shared" si="90"/>
        <v>73</v>
      </c>
      <c r="G327" s="67">
        <f t="shared" si="91"/>
        <v>0</v>
      </c>
      <c r="H327" s="64">
        <f t="shared" si="87"/>
        <v>73</v>
      </c>
      <c r="I327" s="80">
        <v>0</v>
      </c>
      <c r="J327" s="80">
        <v>0</v>
      </c>
      <c r="K327" s="59">
        <f t="shared" si="92"/>
        <v>0</v>
      </c>
      <c r="L327" s="59">
        <v>0</v>
      </c>
      <c r="M327" s="59">
        <v>73</v>
      </c>
      <c r="N327" s="59">
        <f t="shared" si="93"/>
        <v>73</v>
      </c>
      <c r="O327" s="15">
        <f t="shared" si="94"/>
        <v>70</v>
      </c>
      <c r="P327" s="87">
        <f t="shared" si="95"/>
        <v>0</v>
      </c>
      <c r="Q327" s="110">
        <v>0</v>
      </c>
      <c r="R327" s="59">
        <v>0</v>
      </c>
      <c r="S327" s="14">
        <v>0</v>
      </c>
      <c r="T327" s="59">
        <v>0</v>
      </c>
      <c r="U327" s="15">
        <f t="shared" si="88"/>
        <v>0</v>
      </c>
      <c r="V327" s="14">
        <v>0</v>
      </c>
      <c r="W327" s="15">
        <f t="shared" si="96"/>
        <v>0</v>
      </c>
      <c r="X327" s="14">
        <v>0</v>
      </c>
      <c r="Y327" s="75">
        <v>70</v>
      </c>
      <c r="Z327" s="87">
        <f t="shared" si="97"/>
        <v>70</v>
      </c>
      <c r="AA327" s="14">
        <f t="shared" si="98"/>
        <v>0</v>
      </c>
      <c r="AB327" s="75">
        <v>0</v>
      </c>
      <c r="AC327" s="75">
        <v>0</v>
      </c>
      <c r="AD327" s="59">
        <f t="shared" si="99"/>
        <v>0</v>
      </c>
      <c r="AE327" s="73">
        <v>0</v>
      </c>
      <c r="AF327" s="73">
        <v>0</v>
      </c>
      <c r="AG327" s="15">
        <f t="shared" si="100"/>
        <v>0</v>
      </c>
      <c r="AH327" s="16">
        <f t="shared" si="101"/>
        <v>0</v>
      </c>
      <c r="AI327" s="17">
        <f t="shared" si="102"/>
        <v>73</v>
      </c>
      <c r="AJ327" s="12">
        <f>VLOOKUP(A327,'PreK Proxy - Sept. 2024'!$A$2:$I$674,9,FALSE)</f>
        <v>80</v>
      </c>
      <c r="AK327" s="18">
        <f t="shared" si="103"/>
        <v>0.91249999999999998</v>
      </c>
    </row>
    <row r="328" spans="1:37" x14ac:dyDescent="0.35">
      <c r="A328" s="11" t="s">
        <v>664</v>
      </c>
      <c r="B328" s="12" t="s">
        <v>665</v>
      </c>
      <c r="C328" s="54" t="s">
        <v>1440</v>
      </c>
      <c r="D328" s="54" t="s">
        <v>43</v>
      </c>
      <c r="E328" s="66">
        <f t="shared" si="89"/>
        <v>115</v>
      </c>
      <c r="F328" s="13">
        <f t="shared" si="90"/>
        <v>115</v>
      </c>
      <c r="G328" s="67">
        <f t="shared" si="91"/>
        <v>0</v>
      </c>
      <c r="H328" s="64">
        <f t="shared" si="87"/>
        <v>115</v>
      </c>
      <c r="I328" s="80">
        <v>0</v>
      </c>
      <c r="J328" s="80">
        <v>0</v>
      </c>
      <c r="K328" s="59">
        <f t="shared" si="92"/>
        <v>0</v>
      </c>
      <c r="L328" s="59">
        <v>0</v>
      </c>
      <c r="M328" s="59">
        <v>115</v>
      </c>
      <c r="N328" s="59">
        <f t="shared" si="93"/>
        <v>115</v>
      </c>
      <c r="O328" s="15">
        <f t="shared" si="94"/>
        <v>0</v>
      </c>
      <c r="P328" s="87">
        <f t="shared" si="95"/>
        <v>0</v>
      </c>
      <c r="Q328" s="110">
        <v>0</v>
      </c>
      <c r="R328" s="59">
        <v>0</v>
      </c>
      <c r="S328" s="14">
        <v>0</v>
      </c>
      <c r="T328" s="59">
        <v>0</v>
      </c>
      <c r="U328" s="15">
        <f t="shared" si="88"/>
        <v>0</v>
      </c>
      <c r="V328" s="14">
        <v>0</v>
      </c>
      <c r="W328" s="15">
        <f t="shared" si="96"/>
        <v>0</v>
      </c>
      <c r="X328" s="14">
        <v>0</v>
      </c>
      <c r="Y328" s="75">
        <v>0</v>
      </c>
      <c r="Z328" s="87">
        <f t="shared" si="97"/>
        <v>0</v>
      </c>
      <c r="AA328" s="14">
        <f t="shared" si="98"/>
        <v>0</v>
      </c>
      <c r="AB328" s="75">
        <v>0</v>
      </c>
      <c r="AC328" s="75">
        <v>0</v>
      </c>
      <c r="AD328" s="59">
        <f t="shared" si="99"/>
        <v>0</v>
      </c>
      <c r="AE328" s="73">
        <v>0</v>
      </c>
      <c r="AF328" s="73">
        <v>0</v>
      </c>
      <c r="AG328" s="15">
        <f t="shared" si="100"/>
        <v>0</v>
      </c>
      <c r="AH328" s="16">
        <f t="shared" si="101"/>
        <v>0</v>
      </c>
      <c r="AI328" s="17">
        <f t="shared" si="102"/>
        <v>115</v>
      </c>
      <c r="AJ328" s="12">
        <f>VLOOKUP(A328,'PreK Proxy - Sept. 2024'!$A$2:$I$674,9,FALSE)</f>
        <v>198</v>
      </c>
      <c r="AK328" s="18">
        <f t="shared" si="103"/>
        <v>0.58080808080808077</v>
      </c>
    </row>
    <row r="329" spans="1:37" x14ac:dyDescent="0.35">
      <c r="A329" s="11" t="s">
        <v>666</v>
      </c>
      <c r="B329" s="12" t="s">
        <v>667</v>
      </c>
      <c r="C329" s="54" t="s">
        <v>1440</v>
      </c>
      <c r="D329" s="54" t="s">
        <v>43</v>
      </c>
      <c r="E329" s="66">
        <f t="shared" si="89"/>
        <v>490</v>
      </c>
      <c r="F329" s="13">
        <f t="shared" si="90"/>
        <v>490</v>
      </c>
      <c r="G329" s="67">
        <f t="shared" si="91"/>
        <v>0</v>
      </c>
      <c r="H329" s="64">
        <f t="shared" si="87"/>
        <v>460</v>
      </c>
      <c r="I329" s="80">
        <v>0</v>
      </c>
      <c r="J329" s="80">
        <v>0</v>
      </c>
      <c r="K329" s="59">
        <f t="shared" si="92"/>
        <v>0</v>
      </c>
      <c r="L329" s="59">
        <v>188</v>
      </c>
      <c r="M329" s="59">
        <v>272</v>
      </c>
      <c r="N329" s="59">
        <f t="shared" si="93"/>
        <v>460</v>
      </c>
      <c r="O329" s="15">
        <f t="shared" si="94"/>
        <v>0</v>
      </c>
      <c r="P329" s="87">
        <f t="shared" si="95"/>
        <v>0</v>
      </c>
      <c r="Q329" s="110">
        <v>0</v>
      </c>
      <c r="R329" s="59">
        <v>0</v>
      </c>
      <c r="S329" s="14">
        <v>30</v>
      </c>
      <c r="T329" s="59">
        <v>0</v>
      </c>
      <c r="U329" s="15">
        <f t="shared" si="88"/>
        <v>30</v>
      </c>
      <c r="V329" s="14">
        <v>0</v>
      </c>
      <c r="W329" s="15">
        <f t="shared" si="96"/>
        <v>0</v>
      </c>
      <c r="X329" s="14">
        <v>0</v>
      </c>
      <c r="Y329" s="75">
        <v>0</v>
      </c>
      <c r="Z329" s="87">
        <f t="shared" si="97"/>
        <v>0</v>
      </c>
      <c r="AA329" s="14">
        <f t="shared" si="98"/>
        <v>0</v>
      </c>
      <c r="AB329" s="75">
        <v>0</v>
      </c>
      <c r="AC329" s="75">
        <v>0</v>
      </c>
      <c r="AD329" s="59">
        <f t="shared" si="99"/>
        <v>0</v>
      </c>
      <c r="AE329" s="73">
        <v>0</v>
      </c>
      <c r="AF329" s="73">
        <v>0</v>
      </c>
      <c r="AG329" s="15">
        <f t="shared" si="100"/>
        <v>0</v>
      </c>
      <c r="AH329" s="16">
        <f t="shared" si="101"/>
        <v>0</v>
      </c>
      <c r="AI329" s="17">
        <f t="shared" si="102"/>
        <v>302</v>
      </c>
      <c r="AJ329" s="12">
        <f>VLOOKUP(A329,'PreK Proxy - Sept. 2024'!$A$2:$I$674,9,FALSE)</f>
        <v>430</v>
      </c>
      <c r="AK329" s="18">
        <f t="shared" si="103"/>
        <v>0.70232558139534884</v>
      </c>
    </row>
    <row r="330" spans="1:37" x14ac:dyDescent="0.35">
      <c r="A330" s="11" t="s">
        <v>668</v>
      </c>
      <c r="B330" s="12" t="s">
        <v>669</v>
      </c>
      <c r="C330" s="54" t="s">
        <v>1440</v>
      </c>
      <c r="D330" s="54" t="s">
        <v>43</v>
      </c>
      <c r="E330" s="66">
        <f t="shared" si="89"/>
        <v>109</v>
      </c>
      <c r="F330" s="13">
        <f t="shared" si="90"/>
        <v>109</v>
      </c>
      <c r="G330" s="67">
        <f t="shared" si="91"/>
        <v>0</v>
      </c>
      <c r="H330" s="64">
        <f t="shared" si="87"/>
        <v>109</v>
      </c>
      <c r="I330" s="80">
        <v>0</v>
      </c>
      <c r="J330" s="80">
        <v>0</v>
      </c>
      <c r="K330" s="59">
        <f t="shared" si="92"/>
        <v>0</v>
      </c>
      <c r="L330" s="59">
        <v>0</v>
      </c>
      <c r="M330" s="59">
        <v>109</v>
      </c>
      <c r="N330" s="59">
        <f t="shared" si="93"/>
        <v>109</v>
      </c>
      <c r="O330" s="15">
        <f t="shared" si="94"/>
        <v>0</v>
      </c>
      <c r="P330" s="87">
        <f t="shared" si="95"/>
        <v>0</v>
      </c>
      <c r="Q330" s="110">
        <v>0</v>
      </c>
      <c r="R330" s="59">
        <v>0</v>
      </c>
      <c r="S330" s="14">
        <v>0</v>
      </c>
      <c r="T330" s="59">
        <v>0</v>
      </c>
      <c r="U330" s="15">
        <f t="shared" si="88"/>
        <v>0</v>
      </c>
      <c r="V330" s="14">
        <v>0</v>
      </c>
      <c r="W330" s="15">
        <f t="shared" si="96"/>
        <v>0</v>
      </c>
      <c r="X330" s="14">
        <v>0</v>
      </c>
      <c r="Y330" s="75">
        <v>0</v>
      </c>
      <c r="Z330" s="87">
        <f t="shared" si="97"/>
        <v>0</v>
      </c>
      <c r="AA330" s="14">
        <f t="shared" si="98"/>
        <v>0</v>
      </c>
      <c r="AB330" s="75">
        <v>0</v>
      </c>
      <c r="AC330" s="75">
        <v>0</v>
      </c>
      <c r="AD330" s="59">
        <f t="shared" si="99"/>
        <v>0</v>
      </c>
      <c r="AE330" s="73">
        <v>0</v>
      </c>
      <c r="AF330" s="73">
        <v>0</v>
      </c>
      <c r="AG330" s="15">
        <f t="shared" si="100"/>
        <v>0</v>
      </c>
      <c r="AH330" s="16">
        <f t="shared" si="101"/>
        <v>0</v>
      </c>
      <c r="AI330" s="17">
        <f t="shared" si="102"/>
        <v>109</v>
      </c>
      <c r="AJ330" s="12">
        <f>VLOOKUP(A330,'PreK Proxy - Sept. 2024'!$A$2:$I$674,9,FALSE)</f>
        <v>175</v>
      </c>
      <c r="AK330" s="18">
        <f t="shared" si="103"/>
        <v>0.62285714285714289</v>
      </c>
    </row>
    <row r="331" spans="1:37" x14ac:dyDescent="0.35">
      <c r="A331" s="11" t="s">
        <v>670</v>
      </c>
      <c r="B331" s="12" t="s">
        <v>671</v>
      </c>
      <c r="C331" s="54" t="s">
        <v>1440</v>
      </c>
      <c r="D331" s="54" t="s">
        <v>43</v>
      </c>
      <c r="E331" s="66">
        <f t="shared" si="89"/>
        <v>35</v>
      </c>
      <c r="F331" s="13">
        <f t="shared" si="90"/>
        <v>0</v>
      </c>
      <c r="G331" s="67">
        <f t="shared" si="91"/>
        <v>35</v>
      </c>
      <c r="H331" s="64">
        <f t="shared" si="87"/>
        <v>35</v>
      </c>
      <c r="I331" s="80">
        <v>0</v>
      </c>
      <c r="J331" s="80">
        <v>35</v>
      </c>
      <c r="K331" s="59">
        <f t="shared" si="92"/>
        <v>35</v>
      </c>
      <c r="L331" s="59">
        <v>0</v>
      </c>
      <c r="M331" s="59">
        <v>0</v>
      </c>
      <c r="N331" s="59">
        <f t="shared" si="93"/>
        <v>0</v>
      </c>
      <c r="O331" s="15">
        <f t="shared" si="94"/>
        <v>0</v>
      </c>
      <c r="P331" s="87">
        <f t="shared" si="95"/>
        <v>0</v>
      </c>
      <c r="Q331" s="110">
        <v>0</v>
      </c>
      <c r="R331" s="59">
        <v>0</v>
      </c>
      <c r="S331" s="14">
        <v>0</v>
      </c>
      <c r="T331" s="59">
        <v>0</v>
      </c>
      <c r="U331" s="15">
        <f t="shared" si="88"/>
        <v>0</v>
      </c>
      <c r="V331" s="14">
        <v>0</v>
      </c>
      <c r="W331" s="15">
        <f t="shared" si="96"/>
        <v>0</v>
      </c>
      <c r="X331" s="14">
        <v>0</v>
      </c>
      <c r="Y331" s="75">
        <v>0</v>
      </c>
      <c r="Z331" s="87">
        <f t="shared" si="97"/>
        <v>0</v>
      </c>
      <c r="AA331" s="14">
        <f t="shared" si="98"/>
        <v>0</v>
      </c>
      <c r="AB331" s="75">
        <v>0</v>
      </c>
      <c r="AC331" s="75">
        <v>0</v>
      </c>
      <c r="AD331" s="59">
        <f t="shared" si="99"/>
        <v>0</v>
      </c>
      <c r="AE331" s="73">
        <v>0</v>
      </c>
      <c r="AF331" s="73">
        <v>0</v>
      </c>
      <c r="AG331" s="15">
        <f t="shared" si="100"/>
        <v>0</v>
      </c>
      <c r="AH331" s="16">
        <f t="shared" si="101"/>
        <v>35</v>
      </c>
      <c r="AI331" s="17">
        <f t="shared" si="102"/>
        <v>0</v>
      </c>
      <c r="AJ331" s="12">
        <f>VLOOKUP(A331,'PreK Proxy - Sept. 2024'!$A$2:$I$674,9,FALSE)</f>
        <v>168</v>
      </c>
      <c r="AK331" s="18">
        <f t="shared" si="103"/>
        <v>0.20833333333333334</v>
      </c>
    </row>
    <row r="332" spans="1:37" x14ac:dyDescent="0.35">
      <c r="A332" s="11" t="s">
        <v>672</v>
      </c>
      <c r="B332" s="12" t="s">
        <v>673</v>
      </c>
      <c r="C332" s="54" t="s">
        <v>1440</v>
      </c>
      <c r="D332" s="54" t="s">
        <v>43</v>
      </c>
      <c r="E332" s="66">
        <f t="shared" si="89"/>
        <v>64</v>
      </c>
      <c r="F332" s="13">
        <f t="shared" si="90"/>
        <v>0</v>
      </c>
      <c r="G332" s="67">
        <f t="shared" si="91"/>
        <v>64</v>
      </c>
      <c r="H332" s="64">
        <f t="shared" si="87"/>
        <v>64</v>
      </c>
      <c r="I332" s="80">
        <v>0</v>
      </c>
      <c r="J332" s="80">
        <v>64</v>
      </c>
      <c r="K332" s="59">
        <f t="shared" si="92"/>
        <v>64</v>
      </c>
      <c r="L332" s="59">
        <v>0</v>
      </c>
      <c r="M332" s="59">
        <v>0</v>
      </c>
      <c r="N332" s="59">
        <f t="shared" si="93"/>
        <v>0</v>
      </c>
      <c r="O332" s="15">
        <f t="shared" si="94"/>
        <v>0</v>
      </c>
      <c r="P332" s="87">
        <f t="shared" si="95"/>
        <v>0</v>
      </c>
      <c r="Q332" s="110">
        <v>0</v>
      </c>
      <c r="R332" s="59">
        <v>0</v>
      </c>
      <c r="S332" s="14">
        <v>0</v>
      </c>
      <c r="T332" s="59">
        <v>0</v>
      </c>
      <c r="U332" s="15">
        <f t="shared" si="88"/>
        <v>0</v>
      </c>
      <c r="V332" s="14">
        <v>0</v>
      </c>
      <c r="W332" s="15">
        <f t="shared" si="96"/>
        <v>0</v>
      </c>
      <c r="X332" s="14">
        <v>0</v>
      </c>
      <c r="Y332" s="75">
        <v>0</v>
      </c>
      <c r="Z332" s="87">
        <f t="shared" si="97"/>
        <v>0</v>
      </c>
      <c r="AA332" s="14">
        <f t="shared" si="98"/>
        <v>0</v>
      </c>
      <c r="AB332" s="75">
        <v>0</v>
      </c>
      <c r="AC332" s="75">
        <v>0</v>
      </c>
      <c r="AD332" s="59">
        <f t="shared" si="99"/>
        <v>0</v>
      </c>
      <c r="AE332" s="73">
        <v>0</v>
      </c>
      <c r="AF332" s="73">
        <v>0</v>
      </c>
      <c r="AG332" s="15">
        <f t="shared" si="100"/>
        <v>0</v>
      </c>
      <c r="AH332" s="16">
        <f t="shared" si="101"/>
        <v>64</v>
      </c>
      <c r="AI332" s="17">
        <f t="shared" si="102"/>
        <v>0</v>
      </c>
      <c r="AJ332" s="12">
        <f>VLOOKUP(A332,'PreK Proxy - Sept. 2024'!$A$2:$I$674,9,FALSE)</f>
        <v>57</v>
      </c>
      <c r="AK332" s="18">
        <f t="shared" si="103"/>
        <v>1</v>
      </c>
    </row>
    <row r="333" spans="1:37" x14ac:dyDescent="0.35">
      <c r="A333" s="11" t="s">
        <v>674</v>
      </c>
      <c r="B333" s="12" t="s">
        <v>675</v>
      </c>
      <c r="C333" s="54" t="s">
        <v>1440</v>
      </c>
      <c r="D333" s="54" t="s">
        <v>43</v>
      </c>
      <c r="E333" s="66">
        <f t="shared" si="89"/>
        <v>36</v>
      </c>
      <c r="F333" s="13">
        <f t="shared" si="90"/>
        <v>36</v>
      </c>
      <c r="G333" s="67">
        <f t="shared" si="91"/>
        <v>0</v>
      </c>
      <c r="H333" s="64">
        <f t="shared" si="87"/>
        <v>21</v>
      </c>
      <c r="I333" s="80">
        <v>0</v>
      </c>
      <c r="J333" s="80">
        <v>0</v>
      </c>
      <c r="K333" s="59">
        <f t="shared" si="92"/>
        <v>0</v>
      </c>
      <c r="L333" s="59">
        <v>0</v>
      </c>
      <c r="M333" s="59">
        <v>21</v>
      </c>
      <c r="N333" s="59">
        <f t="shared" si="93"/>
        <v>21</v>
      </c>
      <c r="O333" s="15">
        <f t="shared" si="94"/>
        <v>0</v>
      </c>
      <c r="P333" s="87">
        <f t="shared" si="95"/>
        <v>0</v>
      </c>
      <c r="Q333" s="110">
        <v>0</v>
      </c>
      <c r="R333" s="59">
        <v>0</v>
      </c>
      <c r="S333" s="14">
        <v>0</v>
      </c>
      <c r="T333" s="59">
        <v>0</v>
      </c>
      <c r="U333" s="15">
        <f t="shared" si="88"/>
        <v>0</v>
      </c>
      <c r="V333" s="14">
        <v>15</v>
      </c>
      <c r="W333" s="15">
        <f t="shared" si="96"/>
        <v>15</v>
      </c>
      <c r="X333" s="14">
        <v>0</v>
      </c>
      <c r="Y333" s="75">
        <v>0</v>
      </c>
      <c r="Z333" s="87">
        <f t="shared" si="97"/>
        <v>0</v>
      </c>
      <c r="AA333" s="14">
        <f t="shared" si="98"/>
        <v>0</v>
      </c>
      <c r="AB333" s="75">
        <v>0</v>
      </c>
      <c r="AC333" s="75">
        <v>0</v>
      </c>
      <c r="AD333" s="59">
        <f t="shared" si="99"/>
        <v>0</v>
      </c>
      <c r="AE333" s="73">
        <v>0</v>
      </c>
      <c r="AF333" s="73">
        <v>0</v>
      </c>
      <c r="AG333" s="15">
        <f t="shared" si="100"/>
        <v>0</v>
      </c>
      <c r="AH333" s="16">
        <f t="shared" si="101"/>
        <v>0</v>
      </c>
      <c r="AI333" s="17">
        <f t="shared" si="102"/>
        <v>36</v>
      </c>
      <c r="AJ333" s="12">
        <f>VLOOKUP(A333,'PreK Proxy - Sept. 2024'!$A$2:$I$674,9,FALSE)</f>
        <v>33</v>
      </c>
      <c r="AK333" s="18">
        <f t="shared" si="103"/>
        <v>1</v>
      </c>
    </row>
    <row r="334" spans="1:37" x14ac:dyDescent="0.35">
      <c r="A334" s="11" t="s">
        <v>676</v>
      </c>
      <c r="B334" s="12" t="s">
        <v>677</v>
      </c>
      <c r="C334" s="54" t="s">
        <v>1440</v>
      </c>
      <c r="D334" s="54" t="s">
        <v>43</v>
      </c>
      <c r="E334" s="66">
        <f t="shared" si="89"/>
        <v>36</v>
      </c>
      <c r="F334" s="13">
        <f t="shared" si="90"/>
        <v>36</v>
      </c>
      <c r="G334" s="67">
        <f t="shared" si="91"/>
        <v>0</v>
      </c>
      <c r="H334" s="64">
        <f t="shared" si="87"/>
        <v>36</v>
      </c>
      <c r="I334" s="80">
        <v>0</v>
      </c>
      <c r="J334" s="80">
        <v>0</v>
      </c>
      <c r="K334" s="59">
        <f t="shared" si="92"/>
        <v>0</v>
      </c>
      <c r="L334" s="59">
        <v>0</v>
      </c>
      <c r="M334" s="59">
        <v>36</v>
      </c>
      <c r="N334" s="59">
        <f t="shared" si="93"/>
        <v>36</v>
      </c>
      <c r="O334" s="15">
        <f t="shared" si="94"/>
        <v>0</v>
      </c>
      <c r="P334" s="87">
        <f t="shared" si="95"/>
        <v>0</v>
      </c>
      <c r="Q334" s="110">
        <v>0</v>
      </c>
      <c r="R334" s="59">
        <v>0</v>
      </c>
      <c r="S334" s="14">
        <v>0</v>
      </c>
      <c r="T334" s="59">
        <v>0</v>
      </c>
      <c r="U334" s="15">
        <f t="shared" si="88"/>
        <v>0</v>
      </c>
      <c r="V334" s="14">
        <v>0</v>
      </c>
      <c r="W334" s="15">
        <f t="shared" si="96"/>
        <v>0</v>
      </c>
      <c r="X334" s="14">
        <v>0</v>
      </c>
      <c r="Y334" s="75">
        <v>0</v>
      </c>
      <c r="Z334" s="87">
        <f t="shared" si="97"/>
        <v>0</v>
      </c>
      <c r="AA334" s="14">
        <f t="shared" si="98"/>
        <v>0</v>
      </c>
      <c r="AB334" s="75">
        <v>0</v>
      </c>
      <c r="AC334" s="75">
        <v>0</v>
      </c>
      <c r="AD334" s="59">
        <f t="shared" si="99"/>
        <v>0</v>
      </c>
      <c r="AE334" s="73">
        <v>0</v>
      </c>
      <c r="AF334" s="73">
        <v>0</v>
      </c>
      <c r="AG334" s="15">
        <f t="shared" si="100"/>
        <v>0</v>
      </c>
      <c r="AH334" s="16">
        <f t="shared" si="101"/>
        <v>0</v>
      </c>
      <c r="AI334" s="17">
        <f t="shared" si="102"/>
        <v>36</v>
      </c>
      <c r="AJ334" s="12">
        <f>VLOOKUP(A334,'PreK Proxy - Sept. 2024'!$A$2:$I$674,9,FALSE)</f>
        <v>68</v>
      </c>
      <c r="AK334" s="18">
        <f t="shared" si="103"/>
        <v>0.52941176470588236</v>
      </c>
    </row>
    <row r="335" spans="1:37" x14ac:dyDescent="0.35">
      <c r="A335" s="11" t="s">
        <v>678</v>
      </c>
      <c r="B335" s="12" t="s">
        <v>679</v>
      </c>
      <c r="C335" s="54" t="s">
        <v>1439</v>
      </c>
      <c r="D335" s="54" t="s">
        <v>366</v>
      </c>
      <c r="E335" s="66">
        <f t="shared" si="89"/>
        <v>83</v>
      </c>
      <c r="F335" s="13">
        <f t="shared" si="90"/>
        <v>83</v>
      </c>
      <c r="G335" s="67">
        <f t="shared" si="91"/>
        <v>0</v>
      </c>
      <c r="H335" s="64">
        <f t="shared" si="87"/>
        <v>70</v>
      </c>
      <c r="I335" s="80">
        <v>0</v>
      </c>
      <c r="J335" s="80">
        <v>0</v>
      </c>
      <c r="K335" s="59">
        <f t="shared" si="92"/>
        <v>0</v>
      </c>
      <c r="L335" s="59">
        <v>21</v>
      </c>
      <c r="M335" s="59">
        <v>49</v>
      </c>
      <c r="N335" s="59">
        <f t="shared" si="93"/>
        <v>70</v>
      </c>
      <c r="O335" s="15">
        <f t="shared" si="94"/>
        <v>0</v>
      </c>
      <c r="P335" s="87">
        <f t="shared" si="95"/>
        <v>0</v>
      </c>
      <c r="Q335" s="110">
        <v>0</v>
      </c>
      <c r="R335" s="59">
        <v>0</v>
      </c>
      <c r="S335" s="14">
        <v>0</v>
      </c>
      <c r="T335" s="59">
        <v>0</v>
      </c>
      <c r="U335" s="15">
        <f t="shared" si="88"/>
        <v>0</v>
      </c>
      <c r="V335" s="14">
        <v>0</v>
      </c>
      <c r="W335" s="15">
        <f t="shared" si="96"/>
        <v>0</v>
      </c>
      <c r="X335" s="14">
        <v>13</v>
      </c>
      <c r="Y335" s="75">
        <v>0</v>
      </c>
      <c r="Z335" s="87">
        <f t="shared" si="97"/>
        <v>13</v>
      </c>
      <c r="AA335" s="14">
        <f t="shared" si="98"/>
        <v>0</v>
      </c>
      <c r="AB335" s="75">
        <v>0</v>
      </c>
      <c r="AC335" s="75">
        <v>0</v>
      </c>
      <c r="AD335" s="59">
        <f t="shared" si="99"/>
        <v>0</v>
      </c>
      <c r="AE335" s="73">
        <v>0</v>
      </c>
      <c r="AF335" s="73">
        <v>0</v>
      </c>
      <c r="AG335" s="15">
        <f t="shared" si="100"/>
        <v>0</v>
      </c>
      <c r="AH335" s="16">
        <f t="shared" si="101"/>
        <v>0</v>
      </c>
      <c r="AI335" s="17">
        <f t="shared" si="102"/>
        <v>62</v>
      </c>
      <c r="AJ335" s="12">
        <f>VLOOKUP(A335,'PreK Proxy - Sept. 2024'!$A$2:$I$674,9,FALSE)</f>
        <v>65</v>
      </c>
      <c r="AK335" s="18">
        <f t="shared" si="103"/>
        <v>0.9538461538461539</v>
      </c>
    </row>
    <row r="336" spans="1:37" x14ac:dyDescent="0.35">
      <c r="A336" s="11" t="s">
        <v>680</v>
      </c>
      <c r="B336" s="12" t="s">
        <v>681</v>
      </c>
      <c r="C336" s="54" t="s">
        <v>1439</v>
      </c>
      <c r="D336" s="54" t="s">
        <v>366</v>
      </c>
      <c r="E336" s="66">
        <f t="shared" si="89"/>
        <v>111</v>
      </c>
      <c r="F336" s="13">
        <f t="shared" si="90"/>
        <v>0</v>
      </c>
      <c r="G336" s="67">
        <f t="shared" si="91"/>
        <v>111</v>
      </c>
      <c r="H336" s="64">
        <f t="shared" si="87"/>
        <v>111</v>
      </c>
      <c r="I336" s="80">
        <v>0</v>
      </c>
      <c r="J336" s="80">
        <v>111</v>
      </c>
      <c r="K336" s="59">
        <f t="shared" si="92"/>
        <v>111</v>
      </c>
      <c r="L336" s="59">
        <v>0</v>
      </c>
      <c r="M336" s="59">
        <v>0</v>
      </c>
      <c r="N336" s="59">
        <f t="shared" si="93"/>
        <v>0</v>
      </c>
      <c r="O336" s="15">
        <f t="shared" si="94"/>
        <v>0</v>
      </c>
      <c r="P336" s="87">
        <f t="shared" si="95"/>
        <v>0</v>
      </c>
      <c r="Q336" s="110">
        <v>0</v>
      </c>
      <c r="R336" s="59">
        <v>0</v>
      </c>
      <c r="S336" s="14">
        <v>0</v>
      </c>
      <c r="T336" s="59">
        <v>0</v>
      </c>
      <c r="U336" s="15">
        <f t="shared" si="88"/>
        <v>0</v>
      </c>
      <c r="V336" s="14">
        <v>0</v>
      </c>
      <c r="W336" s="15">
        <f t="shared" si="96"/>
        <v>0</v>
      </c>
      <c r="X336" s="14">
        <v>0</v>
      </c>
      <c r="Y336" s="75">
        <v>0</v>
      </c>
      <c r="Z336" s="87">
        <f t="shared" si="97"/>
        <v>0</v>
      </c>
      <c r="AA336" s="14">
        <f t="shared" si="98"/>
        <v>0</v>
      </c>
      <c r="AB336" s="75">
        <v>0</v>
      </c>
      <c r="AC336" s="75">
        <v>0</v>
      </c>
      <c r="AD336" s="59">
        <f t="shared" si="99"/>
        <v>0</v>
      </c>
      <c r="AE336" s="73">
        <v>0</v>
      </c>
      <c r="AF336" s="73">
        <v>0</v>
      </c>
      <c r="AG336" s="15">
        <f t="shared" si="100"/>
        <v>0</v>
      </c>
      <c r="AH336" s="16">
        <f t="shared" si="101"/>
        <v>111</v>
      </c>
      <c r="AI336" s="17">
        <f t="shared" si="102"/>
        <v>0</v>
      </c>
      <c r="AJ336" s="12">
        <f>VLOOKUP(A336,'PreK Proxy - Sept. 2024'!$A$2:$I$674,9,FALSE)</f>
        <v>130</v>
      </c>
      <c r="AK336" s="18">
        <f t="shared" si="103"/>
        <v>0.85384615384615381</v>
      </c>
    </row>
    <row r="337" spans="1:37" x14ac:dyDescent="0.35">
      <c r="A337" s="11" t="s">
        <v>682</v>
      </c>
      <c r="B337" s="12" t="s">
        <v>683</v>
      </c>
      <c r="C337" s="54" t="s">
        <v>1439</v>
      </c>
      <c r="D337" s="54" t="s">
        <v>366</v>
      </c>
      <c r="E337" s="66">
        <f t="shared" si="89"/>
        <v>0</v>
      </c>
      <c r="F337" s="13">
        <f t="shared" si="90"/>
        <v>0</v>
      </c>
      <c r="G337" s="67">
        <f t="shared" si="91"/>
        <v>0</v>
      </c>
      <c r="H337" s="64">
        <f t="shared" si="87"/>
        <v>0</v>
      </c>
      <c r="I337" s="80">
        <v>0</v>
      </c>
      <c r="J337" s="80">
        <v>0</v>
      </c>
      <c r="K337" s="59">
        <f t="shared" si="92"/>
        <v>0</v>
      </c>
      <c r="L337" s="59">
        <v>0</v>
      </c>
      <c r="M337" s="59">
        <v>0</v>
      </c>
      <c r="N337" s="59">
        <f t="shared" si="93"/>
        <v>0</v>
      </c>
      <c r="O337" s="15">
        <f t="shared" si="94"/>
        <v>0</v>
      </c>
      <c r="P337" s="87">
        <f t="shared" si="95"/>
        <v>0</v>
      </c>
      <c r="Q337" s="110">
        <v>0</v>
      </c>
      <c r="R337" s="59">
        <v>0</v>
      </c>
      <c r="S337" s="14">
        <v>0</v>
      </c>
      <c r="T337" s="59">
        <v>0</v>
      </c>
      <c r="U337" s="15">
        <f t="shared" si="88"/>
        <v>0</v>
      </c>
      <c r="V337" s="14">
        <v>0</v>
      </c>
      <c r="W337" s="15">
        <f t="shared" si="96"/>
        <v>0</v>
      </c>
      <c r="X337" s="14">
        <v>0</v>
      </c>
      <c r="Y337" s="75">
        <v>0</v>
      </c>
      <c r="Z337" s="87">
        <f t="shared" si="97"/>
        <v>0</v>
      </c>
      <c r="AA337" s="14">
        <f t="shared" si="98"/>
        <v>0</v>
      </c>
      <c r="AB337" s="75">
        <v>0</v>
      </c>
      <c r="AC337" s="75">
        <v>0</v>
      </c>
      <c r="AD337" s="59">
        <f t="shared" si="99"/>
        <v>0</v>
      </c>
      <c r="AE337" s="73">
        <v>0</v>
      </c>
      <c r="AF337" s="73">
        <v>0</v>
      </c>
      <c r="AG337" s="15">
        <f t="shared" si="100"/>
        <v>0</v>
      </c>
      <c r="AH337" s="16">
        <f t="shared" si="101"/>
        <v>0</v>
      </c>
      <c r="AI337" s="17">
        <f t="shared" si="102"/>
        <v>0</v>
      </c>
      <c r="AJ337" s="12">
        <f>VLOOKUP(A337,'PreK Proxy - Sept. 2024'!$A$2:$I$674,9,FALSE)</f>
        <v>74</v>
      </c>
      <c r="AK337" s="18">
        <f t="shared" si="103"/>
        <v>0</v>
      </c>
    </row>
    <row r="338" spans="1:37" x14ac:dyDescent="0.35">
      <c r="A338" s="11" t="s">
        <v>684</v>
      </c>
      <c r="B338" s="12" t="s">
        <v>685</v>
      </c>
      <c r="C338" s="54" t="s">
        <v>1439</v>
      </c>
      <c r="D338" s="54" t="s">
        <v>366</v>
      </c>
      <c r="E338" s="66">
        <f t="shared" si="89"/>
        <v>0</v>
      </c>
      <c r="F338" s="13">
        <f t="shared" si="90"/>
        <v>0</v>
      </c>
      <c r="G338" s="67">
        <f t="shared" si="91"/>
        <v>0</v>
      </c>
      <c r="H338" s="64">
        <f t="shared" si="87"/>
        <v>0</v>
      </c>
      <c r="I338" s="80">
        <v>0</v>
      </c>
      <c r="J338" s="80">
        <v>0</v>
      </c>
      <c r="K338" s="59">
        <f t="shared" si="92"/>
        <v>0</v>
      </c>
      <c r="L338" s="59">
        <v>0</v>
      </c>
      <c r="M338" s="59">
        <v>0</v>
      </c>
      <c r="N338" s="59">
        <f t="shared" si="93"/>
        <v>0</v>
      </c>
      <c r="O338" s="15">
        <f t="shared" si="94"/>
        <v>0</v>
      </c>
      <c r="P338" s="87">
        <f t="shared" si="95"/>
        <v>0</v>
      </c>
      <c r="Q338" s="110">
        <v>0</v>
      </c>
      <c r="R338" s="59">
        <v>0</v>
      </c>
      <c r="S338" s="14">
        <v>0</v>
      </c>
      <c r="T338" s="59">
        <v>0</v>
      </c>
      <c r="U338" s="15">
        <f t="shared" si="88"/>
        <v>0</v>
      </c>
      <c r="V338" s="14">
        <v>0</v>
      </c>
      <c r="W338" s="15">
        <f t="shared" si="96"/>
        <v>0</v>
      </c>
      <c r="X338" s="14">
        <v>0</v>
      </c>
      <c r="Y338" s="75">
        <v>0</v>
      </c>
      <c r="Z338" s="87">
        <f t="shared" si="97"/>
        <v>0</v>
      </c>
      <c r="AA338" s="14">
        <f t="shared" si="98"/>
        <v>0</v>
      </c>
      <c r="AB338" s="75">
        <v>0</v>
      </c>
      <c r="AC338" s="75">
        <v>0</v>
      </c>
      <c r="AD338" s="59">
        <f t="shared" si="99"/>
        <v>0</v>
      </c>
      <c r="AE338" s="73">
        <v>0</v>
      </c>
      <c r="AF338" s="73">
        <v>0</v>
      </c>
      <c r="AG338" s="15">
        <f t="shared" si="100"/>
        <v>0</v>
      </c>
      <c r="AH338" s="16">
        <f t="shared" si="101"/>
        <v>0</v>
      </c>
      <c r="AI338" s="17">
        <f t="shared" si="102"/>
        <v>0</v>
      </c>
      <c r="AJ338" s="12">
        <f>VLOOKUP(A338,'PreK Proxy - Sept. 2024'!$A$2:$I$674,9,FALSE)</f>
        <v>139</v>
      </c>
      <c r="AK338" s="18">
        <f t="shared" si="103"/>
        <v>0</v>
      </c>
    </row>
    <row r="339" spans="1:37" x14ac:dyDescent="0.35">
      <c r="A339" s="11" t="s">
        <v>686</v>
      </c>
      <c r="B339" s="12" t="s">
        <v>687</v>
      </c>
      <c r="C339" s="54" t="s">
        <v>1439</v>
      </c>
      <c r="D339" s="54" t="s">
        <v>366</v>
      </c>
      <c r="E339" s="66">
        <f t="shared" si="89"/>
        <v>0</v>
      </c>
      <c r="F339" s="13">
        <f t="shared" si="90"/>
        <v>0</v>
      </c>
      <c r="G339" s="67">
        <f t="shared" si="91"/>
        <v>0</v>
      </c>
      <c r="H339" s="64">
        <f t="shared" si="87"/>
        <v>0</v>
      </c>
      <c r="I339" s="80">
        <v>0</v>
      </c>
      <c r="J339" s="80">
        <v>0</v>
      </c>
      <c r="K339" s="59">
        <f t="shared" si="92"/>
        <v>0</v>
      </c>
      <c r="L339" s="59">
        <v>0</v>
      </c>
      <c r="M339" s="59">
        <v>0</v>
      </c>
      <c r="N339" s="59">
        <f t="shared" si="93"/>
        <v>0</v>
      </c>
      <c r="O339" s="15">
        <f t="shared" si="94"/>
        <v>0</v>
      </c>
      <c r="P339" s="87">
        <f t="shared" si="95"/>
        <v>0</v>
      </c>
      <c r="Q339" s="110">
        <v>0</v>
      </c>
      <c r="R339" s="59">
        <v>0</v>
      </c>
      <c r="S339" s="14">
        <v>0</v>
      </c>
      <c r="T339" s="59">
        <v>0</v>
      </c>
      <c r="U339" s="15">
        <f t="shared" si="88"/>
        <v>0</v>
      </c>
      <c r="V339" s="14">
        <v>0</v>
      </c>
      <c r="W339" s="15">
        <f t="shared" si="96"/>
        <v>0</v>
      </c>
      <c r="X339" s="14">
        <v>0</v>
      </c>
      <c r="Y339" s="75">
        <v>0</v>
      </c>
      <c r="Z339" s="87">
        <f t="shared" si="97"/>
        <v>0</v>
      </c>
      <c r="AA339" s="14">
        <f t="shared" si="98"/>
        <v>0</v>
      </c>
      <c r="AB339" s="75">
        <v>0</v>
      </c>
      <c r="AC339" s="75">
        <v>0</v>
      </c>
      <c r="AD339" s="59">
        <f t="shared" si="99"/>
        <v>0</v>
      </c>
      <c r="AE339" s="73">
        <v>0</v>
      </c>
      <c r="AF339" s="73">
        <v>0</v>
      </c>
      <c r="AG339" s="15">
        <f t="shared" si="100"/>
        <v>0</v>
      </c>
      <c r="AH339" s="16">
        <f t="shared" si="101"/>
        <v>0</v>
      </c>
      <c r="AI339" s="17">
        <f t="shared" si="102"/>
        <v>0</v>
      </c>
      <c r="AJ339" s="12">
        <f>VLOOKUP(A339,'PreK Proxy - Sept. 2024'!$A$2:$I$674,9,FALSE)</f>
        <v>34</v>
      </c>
      <c r="AK339" s="18">
        <f t="shared" si="103"/>
        <v>0</v>
      </c>
    </row>
    <row r="340" spans="1:37" x14ac:dyDescent="0.35">
      <c r="A340" s="11" t="s">
        <v>688</v>
      </c>
      <c r="B340" s="12" t="s">
        <v>689</v>
      </c>
      <c r="C340" s="54" t="s">
        <v>1439</v>
      </c>
      <c r="D340" s="54" t="s">
        <v>366</v>
      </c>
      <c r="E340" s="66">
        <f t="shared" si="89"/>
        <v>37</v>
      </c>
      <c r="F340" s="13">
        <f t="shared" si="90"/>
        <v>20</v>
      </c>
      <c r="G340" s="67">
        <f t="shared" si="91"/>
        <v>17</v>
      </c>
      <c r="H340" s="64">
        <f t="shared" si="87"/>
        <v>37</v>
      </c>
      <c r="I340" s="80">
        <v>0</v>
      </c>
      <c r="J340" s="80">
        <v>17</v>
      </c>
      <c r="K340" s="59">
        <f t="shared" si="92"/>
        <v>17</v>
      </c>
      <c r="L340" s="59">
        <v>0</v>
      </c>
      <c r="M340" s="59">
        <v>20</v>
      </c>
      <c r="N340" s="59">
        <f t="shared" si="93"/>
        <v>20</v>
      </c>
      <c r="O340" s="15">
        <f t="shared" si="94"/>
        <v>0</v>
      </c>
      <c r="P340" s="87">
        <f t="shared" si="95"/>
        <v>0</v>
      </c>
      <c r="Q340" s="110">
        <v>0</v>
      </c>
      <c r="R340" s="59">
        <v>0</v>
      </c>
      <c r="S340" s="14">
        <v>0</v>
      </c>
      <c r="T340" s="59">
        <v>0</v>
      </c>
      <c r="U340" s="15">
        <f t="shared" si="88"/>
        <v>0</v>
      </c>
      <c r="V340" s="14">
        <v>0</v>
      </c>
      <c r="W340" s="15">
        <f t="shared" si="96"/>
        <v>0</v>
      </c>
      <c r="X340" s="14">
        <v>0</v>
      </c>
      <c r="Y340" s="75">
        <v>0</v>
      </c>
      <c r="Z340" s="87">
        <f t="shared" si="97"/>
        <v>0</v>
      </c>
      <c r="AA340" s="14">
        <f t="shared" si="98"/>
        <v>0</v>
      </c>
      <c r="AB340" s="75">
        <v>0</v>
      </c>
      <c r="AC340" s="75">
        <v>0</v>
      </c>
      <c r="AD340" s="59">
        <f t="shared" si="99"/>
        <v>0</v>
      </c>
      <c r="AE340" s="73">
        <v>0</v>
      </c>
      <c r="AF340" s="73">
        <v>0</v>
      </c>
      <c r="AG340" s="15">
        <f t="shared" si="100"/>
        <v>0</v>
      </c>
      <c r="AH340" s="16">
        <f t="shared" si="101"/>
        <v>17</v>
      </c>
      <c r="AI340" s="17">
        <f t="shared" si="102"/>
        <v>20</v>
      </c>
      <c r="AJ340" s="12">
        <f>VLOOKUP(A340,'PreK Proxy - Sept. 2024'!$A$2:$I$674,9,FALSE)</f>
        <v>62</v>
      </c>
      <c r="AK340" s="18">
        <f t="shared" si="103"/>
        <v>0.59677419354838712</v>
      </c>
    </row>
    <row r="341" spans="1:37" x14ac:dyDescent="0.35">
      <c r="A341" s="11" t="s">
        <v>690</v>
      </c>
      <c r="B341" s="12" t="s">
        <v>691</v>
      </c>
      <c r="C341" s="54" t="s">
        <v>1439</v>
      </c>
      <c r="D341" s="54" t="s">
        <v>366</v>
      </c>
      <c r="E341" s="66">
        <f t="shared" si="89"/>
        <v>24</v>
      </c>
      <c r="F341" s="13">
        <f t="shared" si="90"/>
        <v>24</v>
      </c>
      <c r="G341" s="67">
        <f t="shared" si="91"/>
        <v>0</v>
      </c>
      <c r="H341" s="64">
        <f t="shared" si="87"/>
        <v>24</v>
      </c>
      <c r="I341" s="80">
        <v>0</v>
      </c>
      <c r="J341" s="80">
        <v>0</v>
      </c>
      <c r="K341" s="59">
        <f t="shared" si="92"/>
        <v>0</v>
      </c>
      <c r="L341" s="59">
        <v>0</v>
      </c>
      <c r="M341" s="59">
        <v>24</v>
      </c>
      <c r="N341" s="59">
        <f t="shared" si="93"/>
        <v>24</v>
      </c>
      <c r="O341" s="15">
        <f t="shared" si="94"/>
        <v>0</v>
      </c>
      <c r="P341" s="87">
        <f t="shared" si="95"/>
        <v>0</v>
      </c>
      <c r="Q341" s="110">
        <v>0</v>
      </c>
      <c r="R341" s="59">
        <v>0</v>
      </c>
      <c r="S341" s="14">
        <v>0</v>
      </c>
      <c r="T341" s="59">
        <v>0</v>
      </c>
      <c r="U341" s="15">
        <f t="shared" si="88"/>
        <v>0</v>
      </c>
      <c r="V341" s="14">
        <v>0</v>
      </c>
      <c r="W341" s="15">
        <f t="shared" si="96"/>
        <v>0</v>
      </c>
      <c r="X341" s="14">
        <v>0</v>
      </c>
      <c r="Y341" s="75">
        <v>0</v>
      </c>
      <c r="Z341" s="87">
        <f t="shared" si="97"/>
        <v>0</v>
      </c>
      <c r="AA341" s="14">
        <f t="shared" si="98"/>
        <v>0</v>
      </c>
      <c r="AB341" s="75">
        <v>0</v>
      </c>
      <c r="AC341" s="75">
        <v>0</v>
      </c>
      <c r="AD341" s="59">
        <f t="shared" si="99"/>
        <v>0</v>
      </c>
      <c r="AE341" s="73">
        <v>0</v>
      </c>
      <c r="AF341" s="73">
        <v>0</v>
      </c>
      <c r="AG341" s="15">
        <f t="shared" si="100"/>
        <v>0</v>
      </c>
      <c r="AH341" s="16">
        <f t="shared" si="101"/>
        <v>0</v>
      </c>
      <c r="AI341" s="17">
        <f t="shared" si="102"/>
        <v>24</v>
      </c>
      <c r="AJ341" s="12">
        <f>VLOOKUP(A341,'PreK Proxy - Sept. 2024'!$A$2:$I$674,9,FALSE)</f>
        <v>28</v>
      </c>
      <c r="AK341" s="18">
        <f t="shared" si="103"/>
        <v>0.8571428571428571</v>
      </c>
    </row>
    <row r="342" spans="1:37" x14ac:dyDescent="0.35">
      <c r="A342" s="11" t="s">
        <v>692</v>
      </c>
      <c r="B342" s="12" t="s">
        <v>693</v>
      </c>
      <c r="C342" s="54" t="s">
        <v>1439</v>
      </c>
      <c r="D342" s="54" t="s">
        <v>366</v>
      </c>
      <c r="E342" s="66">
        <f t="shared" si="89"/>
        <v>234</v>
      </c>
      <c r="F342" s="13">
        <f t="shared" si="90"/>
        <v>234</v>
      </c>
      <c r="G342" s="67">
        <f t="shared" si="91"/>
        <v>0</v>
      </c>
      <c r="H342" s="64">
        <f t="shared" si="87"/>
        <v>234</v>
      </c>
      <c r="I342" s="80">
        <v>0</v>
      </c>
      <c r="J342" s="80">
        <v>0</v>
      </c>
      <c r="K342" s="59">
        <f t="shared" si="92"/>
        <v>0</v>
      </c>
      <c r="L342" s="59">
        <v>99</v>
      </c>
      <c r="M342" s="59">
        <v>135</v>
      </c>
      <c r="N342" s="59">
        <f t="shared" si="93"/>
        <v>234</v>
      </c>
      <c r="O342" s="15">
        <f t="shared" si="94"/>
        <v>0</v>
      </c>
      <c r="P342" s="87">
        <f t="shared" si="95"/>
        <v>0</v>
      </c>
      <c r="Q342" s="110">
        <v>0</v>
      </c>
      <c r="R342" s="59">
        <v>0</v>
      </c>
      <c r="S342" s="14">
        <v>0</v>
      </c>
      <c r="T342" s="59">
        <v>0</v>
      </c>
      <c r="U342" s="15">
        <f t="shared" si="88"/>
        <v>0</v>
      </c>
      <c r="V342" s="14">
        <v>0</v>
      </c>
      <c r="W342" s="15">
        <f t="shared" si="96"/>
        <v>0</v>
      </c>
      <c r="X342" s="14">
        <v>0</v>
      </c>
      <c r="Y342" s="75">
        <v>0</v>
      </c>
      <c r="Z342" s="87">
        <f t="shared" si="97"/>
        <v>0</v>
      </c>
      <c r="AA342" s="14">
        <f t="shared" si="98"/>
        <v>0</v>
      </c>
      <c r="AB342" s="75">
        <v>0</v>
      </c>
      <c r="AC342" s="75">
        <v>0</v>
      </c>
      <c r="AD342" s="59">
        <f t="shared" si="99"/>
        <v>0</v>
      </c>
      <c r="AE342" s="73">
        <v>0</v>
      </c>
      <c r="AF342" s="73">
        <v>0</v>
      </c>
      <c r="AG342" s="15">
        <f t="shared" si="100"/>
        <v>0</v>
      </c>
      <c r="AH342" s="16">
        <f t="shared" si="101"/>
        <v>0</v>
      </c>
      <c r="AI342" s="17">
        <f t="shared" si="102"/>
        <v>135</v>
      </c>
      <c r="AJ342" s="12">
        <f>VLOOKUP(A342,'PreK Proxy - Sept. 2024'!$A$2:$I$674,9,FALSE)</f>
        <v>323</v>
      </c>
      <c r="AK342" s="18">
        <f t="shared" si="103"/>
        <v>0.41795665634674922</v>
      </c>
    </row>
    <row r="343" spans="1:37" x14ac:dyDescent="0.35">
      <c r="A343" s="11" t="s">
        <v>694</v>
      </c>
      <c r="B343" s="12" t="s">
        <v>695</v>
      </c>
      <c r="C343" s="54" t="s">
        <v>1439</v>
      </c>
      <c r="D343" s="54" t="s">
        <v>366</v>
      </c>
      <c r="E343" s="66">
        <f t="shared" si="89"/>
        <v>34</v>
      </c>
      <c r="F343" s="13">
        <f t="shared" si="90"/>
        <v>34</v>
      </c>
      <c r="G343" s="67">
        <f t="shared" si="91"/>
        <v>0</v>
      </c>
      <c r="H343" s="64">
        <f t="shared" si="87"/>
        <v>34</v>
      </c>
      <c r="I343" s="80">
        <v>0</v>
      </c>
      <c r="J343" s="80">
        <v>0</v>
      </c>
      <c r="K343" s="59">
        <f t="shared" si="92"/>
        <v>0</v>
      </c>
      <c r="L343" s="59">
        <v>0</v>
      </c>
      <c r="M343" s="59">
        <v>34</v>
      </c>
      <c r="N343" s="59">
        <f t="shared" si="93"/>
        <v>34</v>
      </c>
      <c r="O343" s="15">
        <f t="shared" si="94"/>
        <v>0</v>
      </c>
      <c r="P343" s="87">
        <f t="shared" si="95"/>
        <v>0</v>
      </c>
      <c r="Q343" s="110">
        <v>0</v>
      </c>
      <c r="R343" s="59">
        <v>0</v>
      </c>
      <c r="S343" s="14">
        <v>0</v>
      </c>
      <c r="T343" s="59">
        <v>0</v>
      </c>
      <c r="U343" s="15">
        <f t="shared" si="88"/>
        <v>0</v>
      </c>
      <c r="V343" s="14">
        <v>0</v>
      </c>
      <c r="W343" s="15">
        <f t="shared" si="96"/>
        <v>0</v>
      </c>
      <c r="X343" s="14">
        <v>0</v>
      </c>
      <c r="Y343" s="75">
        <v>0</v>
      </c>
      <c r="Z343" s="87">
        <f t="shared" si="97"/>
        <v>0</v>
      </c>
      <c r="AA343" s="14">
        <f t="shared" si="98"/>
        <v>0</v>
      </c>
      <c r="AB343" s="75">
        <v>0</v>
      </c>
      <c r="AC343" s="75">
        <v>0</v>
      </c>
      <c r="AD343" s="59">
        <f t="shared" si="99"/>
        <v>0</v>
      </c>
      <c r="AE343" s="73">
        <v>0</v>
      </c>
      <c r="AF343" s="73">
        <v>0</v>
      </c>
      <c r="AG343" s="15">
        <f t="shared" si="100"/>
        <v>0</v>
      </c>
      <c r="AH343" s="16">
        <f t="shared" si="101"/>
        <v>0</v>
      </c>
      <c r="AI343" s="17">
        <f t="shared" si="102"/>
        <v>34</v>
      </c>
      <c r="AJ343" s="12">
        <f>VLOOKUP(A343,'PreK Proxy - Sept. 2024'!$A$2:$I$674,9,FALSE)</f>
        <v>36</v>
      </c>
      <c r="AK343" s="18">
        <f t="shared" si="103"/>
        <v>0.94444444444444442</v>
      </c>
    </row>
    <row r="344" spans="1:37" x14ac:dyDescent="0.35">
      <c r="A344" s="11" t="s">
        <v>696</v>
      </c>
      <c r="B344" s="12" t="s">
        <v>697</v>
      </c>
      <c r="C344" s="54" t="s">
        <v>1439</v>
      </c>
      <c r="D344" s="54" t="s">
        <v>366</v>
      </c>
      <c r="E344" s="66">
        <f t="shared" si="89"/>
        <v>94</v>
      </c>
      <c r="F344" s="13">
        <f t="shared" si="90"/>
        <v>65</v>
      </c>
      <c r="G344" s="67">
        <f t="shared" si="91"/>
        <v>29</v>
      </c>
      <c r="H344" s="64">
        <f t="shared" si="87"/>
        <v>94</v>
      </c>
      <c r="I344" s="80">
        <v>0</v>
      </c>
      <c r="J344" s="80">
        <v>29</v>
      </c>
      <c r="K344" s="59">
        <f t="shared" si="92"/>
        <v>29</v>
      </c>
      <c r="L344" s="59">
        <v>0</v>
      </c>
      <c r="M344" s="59">
        <v>65</v>
      </c>
      <c r="N344" s="59">
        <f t="shared" si="93"/>
        <v>65</v>
      </c>
      <c r="O344" s="15">
        <f t="shared" si="94"/>
        <v>0</v>
      </c>
      <c r="P344" s="87">
        <f t="shared" si="95"/>
        <v>0</v>
      </c>
      <c r="Q344" s="110">
        <v>0</v>
      </c>
      <c r="R344" s="59">
        <v>0</v>
      </c>
      <c r="S344" s="14">
        <v>0</v>
      </c>
      <c r="T344" s="59">
        <v>0</v>
      </c>
      <c r="U344" s="15">
        <f t="shared" si="88"/>
        <v>0</v>
      </c>
      <c r="V344" s="14">
        <v>0</v>
      </c>
      <c r="W344" s="15">
        <f t="shared" si="96"/>
        <v>0</v>
      </c>
      <c r="X344" s="14">
        <v>0</v>
      </c>
      <c r="Y344" s="75">
        <v>0</v>
      </c>
      <c r="Z344" s="87">
        <f t="shared" si="97"/>
        <v>0</v>
      </c>
      <c r="AA344" s="14">
        <f t="shared" si="98"/>
        <v>0</v>
      </c>
      <c r="AB344" s="75">
        <v>0</v>
      </c>
      <c r="AC344" s="75">
        <v>0</v>
      </c>
      <c r="AD344" s="59">
        <f t="shared" si="99"/>
        <v>0</v>
      </c>
      <c r="AE344" s="73">
        <v>0</v>
      </c>
      <c r="AF344" s="73">
        <v>0</v>
      </c>
      <c r="AG344" s="15">
        <f t="shared" si="100"/>
        <v>0</v>
      </c>
      <c r="AH344" s="16">
        <f t="shared" si="101"/>
        <v>29</v>
      </c>
      <c r="AI344" s="17">
        <f t="shared" si="102"/>
        <v>65</v>
      </c>
      <c r="AJ344" s="12">
        <f>VLOOKUP(A344,'PreK Proxy - Sept. 2024'!$A$2:$I$674,9,FALSE)</f>
        <v>94</v>
      </c>
      <c r="AK344" s="18">
        <f t="shared" si="103"/>
        <v>1</v>
      </c>
    </row>
    <row r="345" spans="1:37" x14ac:dyDescent="0.35">
      <c r="A345" s="11" t="s">
        <v>698</v>
      </c>
      <c r="B345" s="12" t="s">
        <v>699</v>
      </c>
      <c r="C345" s="54" t="s">
        <v>1439</v>
      </c>
      <c r="D345" s="54" t="s">
        <v>366</v>
      </c>
      <c r="E345" s="66">
        <f t="shared" si="89"/>
        <v>65</v>
      </c>
      <c r="F345" s="13">
        <f t="shared" si="90"/>
        <v>65</v>
      </c>
      <c r="G345" s="67">
        <f t="shared" si="91"/>
        <v>0</v>
      </c>
      <c r="H345" s="64">
        <f t="shared" si="87"/>
        <v>45</v>
      </c>
      <c r="I345" s="80">
        <v>0</v>
      </c>
      <c r="J345" s="80">
        <v>0</v>
      </c>
      <c r="K345" s="59">
        <f t="shared" si="92"/>
        <v>0</v>
      </c>
      <c r="L345" s="59">
        <v>0</v>
      </c>
      <c r="M345" s="59">
        <v>45</v>
      </c>
      <c r="N345" s="59">
        <f t="shared" si="93"/>
        <v>45</v>
      </c>
      <c r="O345" s="15">
        <f t="shared" si="94"/>
        <v>0</v>
      </c>
      <c r="P345" s="87">
        <f t="shared" si="95"/>
        <v>20</v>
      </c>
      <c r="Q345" s="110">
        <v>0</v>
      </c>
      <c r="R345" s="59">
        <v>20</v>
      </c>
      <c r="S345" s="14">
        <v>0</v>
      </c>
      <c r="T345" s="59">
        <v>0</v>
      </c>
      <c r="U345" s="15">
        <f t="shared" si="88"/>
        <v>0</v>
      </c>
      <c r="V345" s="14">
        <v>0</v>
      </c>
      <c r="W345" s="15">
        <f t="shared" si="96"/>
        <v>0</v>
      </c>
      <c r="X345" s="14">
        <v>0</v>
      </c>
      <c r="Y345" s="75">
        <v>0</v>
      </c>
      <c r="Z345" s="87">
        <f t="shared" si="97"/>
        <v>0</v>
      </c>
      <c r="AA345" s="14">
        <f t="shared" si="98"/>
        <v>0</v>
      </c>
      <c r="AB345" s="75">
        <v>0</v>
      </c>
      <c r="AC345" s="75">
        <v>0</v>
      </c>
      <c r="AD345" s="59">
        <f t="shared" si="99"/>
        <v>0</v>
      </c>
      <c r="AE345" s="73">
        <v>0</v>
      </c>
      <c r="AF345" s="73">
        <v>0</v>
      </c>
      <c r="AG345" s="15">
        <f t="shared" si="100"/>
        <v>0</v>
      </c>
      <c r="AH345" s="16">
        <f t="shared" si="101"/>
        <v>0</v>
      </c>
      <c r="AI345" s="17">
        <f t="shared" si="102"/>
        <v>65</v>
      </c>
      <c r="AJ345" s="12">
        <f>VLOOKUP(A345,'PreK Proxy - Sept. 2024'!$A$2:$I$674,9,FALSE)</f>
        <v>56</v>
      </c>
      <c r="AK345" s="18">
        <f t="shared" si="103"/>
        <v>1</v>
      </c>
    </row>
    <row r="346" spans="1:37" x14ac:dyDescent="0.35">
      <c r="A346" s="11" t="s">
        <v>700</v>
      </c>
      <c r="B346" s="12" t="s">
        <v>701</v>
      </c>
      <c r="C346" s="54" t="s">
        <v>1439</v>
      </c>
      <c r="D346" s="54" t="s">
        <v>366</v>
      </c>
      <c r="E346" s="66">
        <f t="shared" si="89"/>
        <v>430</v>
      </c>
      <c r="F346" s="13">
        <f t="shared" si="90"/>
        <v>207</v>
      </c>
      <c r="G346" s="67">
        <f t="shared" si="91"/>
        <v>223</v>
      </c>
      <c r="H346" s="64">
        <f t="shared" si="87"/>
        <v>430</v>
      </c>
      <c r="I346" s="80">
        <v>0</v>
      </c>
      <c r="J346" s="80">
        <v>223</v>
      </c>
      <c r="K346" s="59">
        <f t="shared" si="92"/>
        <v>223</v>
      </c>
      <c r="L346" s="59">
        <v>0</v>
      </c>
      <c r="M346" s="59">
        <v>207</v>
      </c>
      <c r="N346" s="59">
        <f t="shared" si="93"/>
        <v>207</v>
      </c>
      <c r="O346" s="15">
        <f t="shared" si="94"/>
        <v>0</v>
      </c>
      <c r="P346" s="87">
        <f t="shared" si="95"/>
        <v>0</v>
      </c>
      <c r="Q346" s="110">
        <v>0</v>
      </c>
      <c r="R346" s="59">
        <v>0</v>
      </c>
      <c r="S346" s="14">
        <v>0</v>
      </c>
      <c r="T346" s="59">
        <v>0</v>
      </c>
      <c r="U346" s="15">
        <f t="shared" si="88"/>
        <v>0</v>
      </c>
      <c r="V346" s="14">
        <v>0</v>
      </c>
      <c r="W346" s="15">
        <f t="shared" si="96"/>
        <v>0</v>
      </c>
      <c r="X346" s="14">
        <v>0</v>
      </c>
      <c r="Y346" s="75">
        <v>0</v>
      </c>
      <c r="Z346" s="87">
        <f t="shared" si="97"/>
        <v>0</v>
      </c>
      <c r="AA346" s="14">
        <f t="shared" si="98"/>
        <v>0</v>
      </c>
      <c r="AB346" s="75">
        <v>0</v>
      </c>
      <c r="AC346" s="75">
        <v>0</v>
      </c>
      <c r="AD346" s="59">
        <f t="shared" si="99"/>
        <v>0</v>
      </c>
      <c r="AE346" s="73">
        <v>0</v>
      </c>
      <c r="AF346" s="73">
        <v>0</v>
      </c>
      <c r="AG346" s="15">
        <f t="shared" si="100"/>
        <v>0</v>
      </c>
      <c r="AH346" s="16">
        <f t="shared" si="101"/>
        <v>223</v>
      </c>
      <c r="AI346" s="17">
        <f t="shared" si="102"/>
        <v>207</v>
      </c>
      <c r="AJ346" s="12">
        <f>VLOOKUP(A346,'PreK Proxy - Sept. 2024'!$A$2:$I$674,9,FALSE)</f>
        <v>673</v>
      </c>
      <c r="AK346" s="18">
        <f t="shared" si="103"/>
        <v>0.63893016344725106</v>
      </c>
    </row>
    <row r="347" spans="1:37" x14ac:dyDescent="0.35">
      <c r="A347" s="11" t="s">
        <v>702</v>
      </c>
      <c r="B347" s="12" t="s">
        <v>703</v>
      </c>
      <c r="C347" s="54" t="s">
        <v>1439</v>
      </c>
      <c r="D347" s="54" t="s">
        <v>366</v>
      </c>
      <c r="E347" s="66">
        <f t="shared" si="89"/>
        <v>43</v>
      </c>
      <c r="F347" s="13">
        <f t="shared" si="90"/>
        <v>20</v>
      </c>
      <c r="G347" s="67">
        <f t="shared" si="91"/>
        <v>23</v>
      </c>
      <c r="H347" s="64">
        <f t="shared" si="87"/>
        <v>43</v>
      </c>
      <c r="I347" s="80">
        <v>0</v>
      </c>
      <c r="J347" s="80">
        <v>23</v>
      </c>
      <c r="K347" s="59">
        <f t="shared" si="92"/>
        <v>23</v>
      </c>
      <c r="L347" s="59">
        <v>0</v>
      </c>
      <c r="M347" s="59">
        <v>20</v>
      </c>
      <c r="N347" s="59">
        <f t="shared" si="93"/>
        <v>20</v>
      </c>
      <c r="O347" s="15">
        <f t="shared" si="94"/>
        <v>0</v>
      </c>
      <c r="P347" s="87">
        <f t="shared" si="95"/>
        <v>0</v>
      </c>
      <c r="Q347" s="110">
        <v>0</v>
      </c>
      <c r="R347" s="59">
        <v>0</v>
      </c>
      <c r="S347" s="14">
        <v>0</v>
      </c>
      <c r="T347" s="59">
        <v>0</v>
      </c>
      <c r="U347" s="15">
        <f t="shared" si="88"/>
        <v>0</v>
      </c>
      <c r="V347" s="14">
        <v>0</v>
      </c>
      <c r="W347" s="15">
        <f t="shared" si="96"/>
        <v>0</v>
      </c>
      <c r="X347" s="14">
        <v>0</v>
      </c>
      <c r="Y347" s="75">
        <v>0</v>
      </c>
      <c r="Z347" s="87">
        <f t="shared" si="97"/>
        <v>0</v>
      </c>
      <c r="AA347" s="14">
        <f t="shared" si="98"/>
        <v>0</v>
      </c>
      <c r="AB347" s="75">
        <v>0</v>
      </c>
      <c r="AC347" s="75">
        <v>0</v>
      </c>
      <c r="AD347" s="59">
        <f t="shared" si="99"/>
        <v>0</v>
      </c>
      <c r="AE347" s="73">
        <v>0</v>
      </c>
      <c r="AF347" s="73">
        <v>0</v>
      </c>
      <c r="AG347" s="15">
        <f t="shared" si="100"/>
        <v>0</v>
      </c>
      <c r="AH347" s="16">
        <f t="shared" si="101"/>
        <v>23</v>
      </c>
      <c r="AI347" s="17">
        <f t="shared" si="102"/>
        <v>20</v>
      </c>
      <c r="AJ347" s="12">
        <f>VLOOKUP(A347,'PreK Proxy - Sept. 2024'!$A$2:$I$674,9,FALSE)</f>
        <v>50</v>
      </c>
      <c r="AK347" s="18">
        <f t="shared" si="103"/>
        <v>0.86</v>
      </c>
    </row>
    <row r="348" spans="1:37" x14ac:dyDescent="0.35">
      <c r="A348" s="11" t="s">
        <v>704</v>
      </c>
      <c r="B348" s="12" t="s">
        <v>705</v>
      </c>
      <c r="C348" s="54" t="s">
        <v>1439</v>
      </c>
      <c r="D348" s="54" t="s">
        <v>366</v>
      </c>
      <c r="E348" s="66">
        <f t="shared" si="89"/>
        <v>34</v>
      </c>
      <c r="F348" s="13">
        <f t="shared" si="90"/>
        <v>34</v>
      </c>
      <c r="G348" s="67">
        <f t="shared" si="91"/>
        <v>0</v>
      </c>
      <c r="H348" s="64">
        <f t="shared" si="87"/>
        <v>9</v>
      </c>
      <c r="I348" s="80">
        <v>0</v>
      </c>
      <c r="J348" s="80">
        <v>0</v>
      </c>
      <c r="K348" s="59">
        <f t="shared" si="92"/>
        <v>0</v>
      </c>
      <c r="L348" s="59">
        <v>0</v>
      </c>
      <c r="M348" s="59">
        <v>9</v>
      </c>
      <c r="N348" s="59">
        <f t="shared" si="93"/>
        <v>9</v>
      </c>
      <c r="O348" s="15">
        <f t="shared" si="94"/>
        <v>0</v>
      </c>
      <c r="P348" s="87">
        <f t="shared" si="95"/>
        <v>25</v>
      </c>
      <c r="Q348" s="110">
        <v>0</v>
      </c>
      <c r="R348" s="59">
        <v>25</v>
      </c>
      <c r="S348" s="14">
        <v>0</v>
      </c>
      <c r="T348" s="59">
        <v>0</v>
      </c>
      <c r="U348" s="15">
        <f t="shared" si="88"/>
        <v>0</v>
      </c>
      <c r="V348" s="14">
        <v>0</v>
      </c>
      <c r="W348" s="15">
        <f t="shared" si="96"/>
        <v>0</v>
      </c>
      <c r="X348" s="14">
        <v>0</v>
      </c>
      <c r="Y348" s="75">
        <v>0</v>
      </c>
      <c r="Z348" s="87">
        <f t="shared" si="97"/>
        <v>0</v>
      </c>
      <c r="AA348" s="14">
        <f t="shared" si="98"/>
        <v>0</v>
      </c>
      <c r="AB348" s="75">
        <v>0</v>
      </c>
      <c r="AC348" s="75">
        <v>0</v>
      </c>
      <c r="AD348" s="59">
        <f t="shared" si="99"/>
        <v>0</v>
      </c>
      <c r="AE348" s="73">
        <v>0</v>
      </c>
      <c r="AF348" s="73">
        <v>0</v>
      </c>
      <c r="AG348" s="15">
        <f t="shared" si="100"/>
        <v>0</v>
      </c>
      <c r="AH348" s="16">
        <f t="shared" si="101"/>
        <v>0</v>
      </c>
      <c r="AI348" s="17">
        <f t="shared" si="102"/>
        <v>34</v>
      </c>
      <c r="AJ348" s="12">
        <f>VLOOKUP(A348,'PreK Proxy - Sept. 2024'!$A$2:$I$674,9,FALSE)</f>
        <v>28</v>
      </c>
      <c r="AK348" s="18">
        <f t="shared" si="103"/>
        <v>1</v>
      </c>
    </row>
    <row r="349" spans="1:37" x14ac:dyDescent="0.35">
      <c r="A349" s="11" t="s">
        <v>706</v>
      </c>
      <c r="B349" s="12" t="s">
        <v>707</v>
      </c>
      <c r="C349" s="54" t="s">
        <v>1439</v>
      </c>
      <c r="D349" s="54" t="s">
        <v>366</v>
      </c>
      <c r="E349" s="66">
        <f t="shared" si="89"/>
        <v>0</v>
      </c>
      <c r="F349" s="13">
        <f t="shared" si="90"/>
        <v>0</v>
      </c>
      <c r="G349" s="67">
        <f t="shared" si="91"/>
        <v>0</v>
      </c>
      <c r="H349" s="64">
        <f t="shared" si="87"/>
        <v>0</v>
      </c>
      <c r="I349" s="80">
        <v>0</v>
      </c>
      <c r="J349" s="80">
        <v>0</v>
      </c>
      <c r="K349" s="59">
        <f t="shared" si="92"/>
        <v>0</v>
      </c>
      <c r="L349" s="59">
        <v>0</v>
      </c>
      <c r="M349" s="59">
        <v>0</v>
      </c>
      <c r="N349" s="59">
        <f t="shared" si="93"/>
        <v>0</v>
      </c>
      <c r="O349" s="15">
        <f t="shared" si="94"/>
        <v>0</v>
      </c>
      <c r="P349" s="87">
        <f t="shared" si="95"/>
        <v>0</v>
      </c>
      <c r="Q349" s="110">
        <v>0</v>
      </c>
      <c r="R349" s="59">
        <v>0</v>
      </c>
      <c r="S349" s="14">
        <v>0</v>
      </c>
      <c r="T349" s="59">
        <v>0</v>
      </c>
      <c r="U349" s="15">
        <f t="shared" si="88"/>
        <v>0</v>
      </c>
      <c r="V349" s="14">
        <v>0</v>
      </c>
      <c r="W349" s="15">
        <f t="shared" si="96"/>
        <v>0</v>
      </c>
      <c r="X349" s="14">
        <v>0</v>
      </c>
      <c r="Y349" s="75">
        <v>0</v>
      </c>
      <c r="Z349" s="87">
        <f t="shared" si="97"/>
        <v>0</v>
      </c>
      <c r="AA349" s="14">
        <f t="shared" si="98"/>
        <v>0</v>
      </c>
      <c r="AB349" s="75">
        <v>0</v>
      </c>
      <c r="AC349" s="75">
        <v>0</v>
      </c>
      <c r="AD349" s="59">
        <f t="shared" si="99"/>
        <v>0</v>
      </c>
      <c r="AE349" s="73">
        <v>0</v>
      </c>
      <c r="AF349" s="73">
        <v>0</v>
      </c>
      <c r="AG349" s="15">
        <f t="shared" si="100"/>
        <v>0</v>
      </c>
      <c r="AH349" s="16">
        <f t="shared" si="101"/>
        <v>0</v>
      </c>
      <c r="AI349" s="17">
        <f t="shared" si="102"/>
        <v>0</v>
      </c>
      <c r="AJ349" s="12">
        <f>VLOOKUP(A349,'PreK Proxy - Sept. 2024'!$A$2:$I$674,9,FALSE)</f>
        <v>170</v>
      </c>
      <c r="AK349" s="18">
        <f t="shared" si="103"/>
        <v>0</v>
      </c>
    </row>
    <row r="350" spans="1:37" x14ac:dyDescent="0.35">
      <c r="A350" s="11" t="s">
        <v>708</v>
      </c>
      <c r="B350" s="12" t="s">
        <v>709</v>
      </c>
      <c r="C350" s="54" t="s">
        <v>1378</v>
      </c>
      <c r="D350" s="54" t="s">
        <v>117</v>
      </c>
      <c r="E350" s="66">
        <f t="shared" si="89"/>
        <v>148</v>
      </c>
      <c r="F350" s="13">
        <f t="shared" si="90"/>
        <v>148</v>
      </c>
      <c r="G350" s="67">
        <f t="shared" si="91"/>
        <v>0</v>
      </c>
      <c r="H350" s="64">
        <f t="shared" si="87"/>
        <v>41</v>
      </c>
      <c r="I350" s="80">
        <v>0</v>
      </c>
      <c r="J350" s="80">
        <v>0</v>
      </c>
      <c r="K350" s="59">
        <f t="shared" si="92"/>
        <v>0</v>
      </c>
      <c r="L350" s="59">
        <v>0</v>
      </c>
      <c r="M350" s="59">
        <v>41</v>
      </c>
      <c r="N350" s="59">
        <f t="shared" si="93"/>
        <v>41</v>
      </c>
      <c r="O350" s="15">
        <f t="shared" si="94"/>
        <v>0</v>
      </c>
      <c r="P350" s="87">
        <f t="shared" si="95"/>
        <v>107</v>
      </c>
      <c r="Q350" s="110">
        <v>0</v>
      </c>
      <c r="R350" s="59">
        <v>107</v>
      </c>
      <c r="S350" s="14">
        <v>0</v>
      </c>
      <c r="T350" s="59">
        <v>0</v>
      </c>
      <c r="U350" s="15">
        <f t="shared" si="88"/>
        <v>0</v>
      </c>
      <c r="V350" s="14">
        <v>0</v>
      </c>
      <c r="W350" s="15">
        <f t="shared" si="96"/>
        <v>0</v>
      </c>
      <c r="X350" s="14">
        <v>0</v>
      </c>
      <c r="Y350" s="75">
        <v>0</v>
      </c>
      <c r="Z350" s="87">
        <f t="shared" si="97"/>
        <v>0</v>
      </c>
      <c r="AA350" s="14">
        <f t="shared" si="98"/>
        <v>0</v>
      </c>
      <c r="AB350" s="75">
        <v>0</v>
      </c>
      <c r="AC350" s="75">
        <v>0</v>
      </c>
      <c r="AD350" s="59">
        <f t="shared" si="99"/>
        <v>0</v>
      </c>
      <c r="AE350" s="73">
        <v>0</v>
      </c>
      <c r="AF350" s="73">
        <v>0</v>
      </c>
      <c r="AG350" s="15">
        <f t="shared" si="100"/>
        <v>0</v>
      </c>
      <c r="AH350" s="16">
        <f t="shared" si="101"/>
        <v>0</v>
      </c>
      <c r="AI350" s="17">
        <f t="shared" si="102"/>
        <v>148</v>
      </c>
      <c r="AJ350" s="12">
        <f>VLOOKUP(A350,'PreK Proxy - Sept. 2024'!$A$2:$I$674,9,FALSE)</f>
        <v>300</v>
      </c>
      <c r="AK350" s="18">
        <f t="shared" si="103"/>
        <v>0.49333333333333335</v>
      </c>
    </row>
    <row r="351" spans="1:37" x14ac:dyDescent="0.35">
      <c r="A351" s="11" t="s">
        <v>710</v>
      </c>
      <c r="B351" s="12" t="s">
        <v>711</v>
      </c>
      <c r="C351" s="54" t="s">
        <v>1378</v>
      </c>
      <c r="D351" s="54" t="s">
        <v>117</v>
      </c>
      <c r="E351" s="66">
        <f t="shared" si="89"/>
        <v>320</v>
      </c>
      <c r="F351" s="13">
        <f t="shared" si="90"/>
        <v>300</v>
      </c>
      <c r="G351" s="67">
        <f t="shared" si="91"/>
        <v>20</v>
      </c>
      <c r="H351" s="64">
        <f t="shared" si="87"/>
        <v>224</v>
      </c>
      <c r="I351" s="80">
        <v>0</v>
      </c>
      <c r="J351" s="80">
        <v>19</v>
      </c>
      <c r="K351" s="59">
        <f t="shared" si="92"/>
        <v>19</v>
      </c>
      <c r="L351" s="59">
        <v>0</v>
      </c>
      <c r="M351" s="59">
        <v>205</v>
      </c>
      <c r="N351" s="59">
        <f t="shared" si="93"/>
        <v>205</v>
      </c>
      <c r="O351" s="15">
        <f t="shared" si="94"/>
        <v>0</v>
      </c>
      <c r="P351" s="87">
        <f t="shared" si="95"/>
        <v>96</v>
      </c>
      <c r="Q351" s="110">
        <v>1</v>
      </c>
      <c r="R351" s="59">
        <v>95</v>
      </c>
      <c r="S351" s="14">
        <v>0</v>
      </c>
      <c r="T351" s="59">
        <v>0</v>
      </c>
      <c r="U351" s="15">
        <f t="shared" si="88"/>
        <v>0</v>
      </c>
      <c r="V351" s="14">
        <v>0</v>
      </c>
      <c r="W351" s="15">
        <f t="shared" si="96"/>
        <v>0</v>
      </c>
      <c r="X351" s="14">
        <v>0</v>
      </c>
      <c r="Y351" s="75">
        <v>0</v>
      </c>
      <c r="Z351" s="87">
        <f t="shared" si="97"/>
        <v>0</v>
      </c>
      <c r="AA351" s="14">
        <f t="shared" si="98"/>
        <v>0</v>
      </c>
      <c r="AB351" s="75">
        <v>0</v>
      </c>
      <c r="AC351" s="75">
        <v>0</v>
      </c>
      <c r="AD351" s="59">
        <f t="shared" si="99"/>
        <v>0</v>
      </c>
      <c r="AE351" s="73">
        <v>0</v>
      </c>
      <c r="AF351" s="73">
        <v>0</v>
      </c>
      <c r="AG351" s="15">
        <f t="shared" si="100"/>
        <v>0</v>
      </c>
      <c r="AH351" s="16">
        <f t="shared" si="101"/>
        <v>20</v>
      </c>
      <c r="AI351" s="17">
        <f t="shared" si="102"/>
        <v>300</v>
      </c>
      <c r="AJ351" s="12">
        <f>VLOOKUP(A351,'PreK Proxy - Sept. 2024'!$A$2:$I$674,9,FALSE)</f>
        <v>489</v>
      </c>
      <c r="AK351" s="18">
        <f t="shared" si="103"/>
        <v>0.65439672801635995</v>
      </c>
    </row>
    <row r="352" spans="1:37" x14ac:dyDescent="0.35">
      <c r="A352" s="11" t="s">
        <v>712</v>
      </c>
      <c r="B352" s="12" t="s">
        <v>713</v>
      </c>
      <c r="C352" s="54" t="s">
        <v>1378</v>
      </c>
      <c r="D352" s="54" t="s">
        <v>117</v>
      </c>
      <c r="E352" s="66">
        <f t="shared" si="89"/>
        <v>149</v>
      </c>
      <c r="F352" s="13">
        <f t="shared" si="90"/>
        <v>87</v>
      </c>
      <c r="G352" s="67">
        <f t="shared" si="91"/>
        <v>62</v>
      </c>
      <c r="H352" s="64">
        <f t="shared" si="87"/>
        <v>149</v>
      </c>
      <c r="I352" s="80">
        <v>0</v>
      </c>
      <c r="J352" s="80">
        <v>62</v>
      </c>
      <c r="K352" s="59">
        <f t="shared" si="92"/>
        <v>62</v>
      </c>
      <c r="L352" s="59">
        <v>0</v>
      </c>
      <c r="M352" s="59">
        <v>87</v>
      </c>
      <c r="N352" s="59">
        <f t="shared" si="93"/>
        <v>87</v>
      </c>
      <c r="O352" s="15">
        <f t="shared" si="94"/>
        <v>0</v>
      </c>
      <c r="P352" s="87">
        <f t="shared" si="95"/>
        <v>0</v>
      </c>
      <c r="Q352" s="110">
        <v>0</v>
      </c>
      <c r="R352" s="59">
        <v>0</v>
      </c>
      <c r="S352" s="14">
        <v>0</v>
      </c>
      <c r="T352" s="59">
        <v>0</v>
      </c>
      <c r="U352" s="15">
        <f t="shared" si="88"/>
        <v>0</v>
      </c>
      <c r="V352" s="14">
        <v>0</v>
      </c>
      <c r="W352" s="15">
        <f t="shared" si="96"/>
        <v>0</v>
      </c>
      <c r="X352" s="14">
        <v>0</v>
      </c>
      <c r="Y352" s="75">
        <v>0</v>
      </c>
      <c r="Z352" s="87">
        <f t="shared" si="97"/>
        <v>0</v>
      </c>
      <c r="AA352" s="14">
        <f t="shared" si="98"/>
        <v>0</v>
      </c>
      <c r="AB352" s="75">
        <v>0</v>
      </c>
      <c r="AC352" s="75">
        <v>0</v>
      </c>
      <c r="AD352" s="59">
        <f t="shared" si="99"/>
        <v>0</v>
      </c>
      <c r="AE352" s="73">
        <v>0</v>
      </c>
      <c r="AF352" s="73">
        <v>0</v>
      </c>
      <c r="AG352" s="15">
        <f t="shared" si="100"/>
        <v>0</v>
      </c>
      <c r="AH352" s="16">
        <f t="shared" si="101"/>
        <v>62</v>
      </c>
      <c r="AI352" s="17">
        <f t="shared" si="102"/>
        <v>87</v>
      </c>
      <c r="AJ352" s="12">
        <f>VLOOKUP(A352,'PreK Proxy - Sept. 2024'!$A$2:$I$674,9,FALSE)</f>
        <v>170</v>
      </c>
      <c r="AK352" s="18">
        <f t="shared" si="103"/>
        <v>0.87647058823529411</v>
      </c>
    </row>
    <row r="353" spans="1:37" x14ac:dyDescent="0.35">
      <c r="A353" s="11" t="s">
        <v>714</v>
      </c>
      <c r="B353" s="12" t="s">
        <v>715</v>
      </c>
      <c r="C353" s="54" t="s">
        <v>1378</v>
      </c>
      <c r="D353" s="54" t="s">
        <v>117</v>
      </c>
      <c r="E353" s="66">
        <f t="shared" si="89"/>
        <v>96</v>
      </c>
      <c r="F353" s="13">
        <f t="shared" si="90"/>
        <v>96</v>
      </c>
      <c r="G353" s="67">
        <f t="shared" si="91"/>
        <v>0</v>
      </c>
      <c r="H353" s="64">
        <f t="shared" si="87"/>
        <v>26</v>
      </c>
      <c r="I353" s="80">
        <v>0</v>
      </c>
      <c r="J353" s="80">
        <v>0</v>
      </c>
      <c r="K353" s="59">
        <f t="shared" si="92"/>
        <v>0</v>
      </c>
      <c r="L353" s="59">
        <v>0</v>
      </c>
      <c r="M353" s="59">
        <v>26</v>
      </c>
      <c r="N353" s="59">
        <f t="shared" si="93"/>
        <v>26</v>
      </c>
      <c r="O353" s="15">
        <f t="shared" si="94"/>
        <v>0</v>
      </c>
      <c r="P353" s="87">
        <f t="shared" si="95"/>
        <v>70</v>
      </c>
      <c r="Q353" s="110">
        <v>0</v>
      </c>
      <c r="R353" s="59">
        <v>70</v>
      </c>
      <c r="S353" s="14">
        <v>0</v>
      </c>
      <c r="T353" s="59">
        <v>0</v>
      </c>
      <c r="U353" s="15">
        <f t="shared" si="88"/>
        <v>0</v>
      </c>
      <c r="V353" s="14">
        <v>0</v>
      </c>
      <c r="W353" s="15">
        <f t="shared" si="96"/>
        <v>0</v>
      </c>
      <c r="X353" s="14">
        <v>0</v>
      </c>
      <c r="Y353" s="75">
        <v>0</v>
      </c>
      <c r="Z353" s="87">
        <f t="shared" si="97"/>
        <v>0</v>
      </c>
      <c r="AA353" s="14">
        <f t="shared" si="98"/>
        <v>0</v>
      </c>
      <c r="AB353" s="75">
        <v>0</v>
      </c>
      <c r="AC353" s="75">
        <v>0</v>
      </c>
      <c r="AD353" s="59">
        <f t="shared" si="99"/>
        <v>0</v>
      </c>
      <c r="AE353" s="73">
        <v>0</v>
      </c>
      <c r="AF353" s="73">
        <v>0</v>
      </c>
      <c r="AG353" s="15">
        <f t="shared" si="100"/>
        <v>0</v>
      </c>
      <c r="AH353" s="16">
        <f t="shared" si="101"/>
        <v>0</v>
      </c>
      <c r="AI353" s="17">
        <f t="shared" si="102"/>
        <v>96</v>
      </c>
      <c r="AJ353" s="12">
        <f>VLOOKUP(A353,'PreK Proxy - Sept. 2024'!$A$2:$I$674,9,FALSE)</f>
        <v>189</v>
      </c>
      <c r="AK353" s="18">
        <f t="shared" si="103"/>
        <v>0.50793650793650791</v>
      </c>
    </row>
    <row r="354" spans="1:37" x14ac:dyDescent="0.35">
      <c r="A354" s="11" t="s">
        <v>716</v>
      </c>
      <c r="B354" s="12" t="s">
        <v>717</v>
      </c>
      <c r="C354" s="54" t="s">
        <v>1378</v>
      </c>
      <c r="D354" s="54" t="s">
        <v>117</v>
      </c>
      <c r="E354" s="66">
        <f t="shared" si="89"/>
        <v>99</v>
      </c>
      <c r="F354" s="13">
        <f t="shared" si="90"/>
        <v>99</v>
      </c>
      <c r="G354" s="67">
        <f t="shared" si="91"/>
        <v>0</v>
      </c>
      <c r="H354" s="64">
        <f t="shared" si="87"/>
        <v>90</v>
      </c>
      <c r="I354" s="80">
        <v>0</v>
      </c>
      <c r="J354" s="80">
        <v>0</v>
      </c>
      <c r="K354" s="59">
        <f t="shared" si="92"/>
        <v>0</v>
      </c>
      <c r="L354" s="59">
        <v>51</v>
      </c>
      <c r="M354" s="59">
        <v>39</v>
      </c>
      <c r="N354" s="59">
        <f t="shared" si="93"/>
        <v>90</v>
      </c>
      <c r="O354" s="15">
        <f t="shared" si="94"/>
        <v>39</v>
      </c>
      <c r="P354" s="87">
        <f t="shared" si="95"/>
        <v>0</v>
      </c>
      <c r="Q354" s="110">
        <v>0</v>
      </c>
      <c r="R354" s="59">
        <v>0</v>
      </c>
      <c r="S354" s="14">
        <v>9</v>
      </c>
      <c r="T354" s="59">
        <v>39</v>
      </c>
      <c r="U354" s="15">
        <f>S354+T354</f>
        <v>48</v>
      </c>
      <c r="V354" s="14">
        <v>0</v>
      </c>
      <c r="W354" s="15">
        <f t="shared" si="96"/>
        <v>0</v>
      </c>
      <c r="X354" s="14">
        <v>0</v>
      </c>
      <c r="Y354" s="75">
        <v>0</v>
      </c>
      <c r="Z354" s="87">
        <f t="shared" si="97"/>
        <v>0</v>
      </c>
      <c r="AA354" s="14">
        <f t="shared" si="98"/>
        <v>0</v>
      </c>
      <c r="AB354" s="75">
        <v>0</v>
      </c>
      <c r="AC354" s="75">
        <v>0</v>
      </c>
      <c r="AD354" s="59">
        <f t="shared" si="99"/>
        <v>0</v>
      </c>
      <c r="AE354" s="73">
        <v>0</v>
      </c>
      <c r="AF354" s="73">
        <v>0</v>
      </c>
      <c r="AG354" s="15">
        <f t="shared" si="100"/>
        <v>0</v>
      </c>
      <c r="AH354" s="16">
        <f t="shared" si="101"/>
        <v>0</v>
      </c>
      <c r="AI354" s="17">
        <f t="shared" si="102"/>
        <v>48</v>
      </c>
      <c r="AJ354" s="12">
        <f>VLOOKUP(A354,'PreK Proxy - Sept. 2024'!$A$2:$I$674,9,FALSE)</f>
        <v>54</v>
      </c>
      <c r="AK354" s="18">
        <f t="shared" si="103"/>
        <v>0.88888888888888884</v>
      </c>
    </row>
    <row r="355" spans="1:37" x14ac:dyDescent="0.35">
      <c r="A355" s="11" t="s">
        <v>718</v>
      </c>
      <c r="B355" s="12" t="s">
        <v>719</v>
      </c>
      <c r="C355" s="54" t="s">
        <v>1378</v>
      </c>
      <c r="D355" s="54" t="s">
        <v>117</v>
      </c>
      <c r="E355" s="66">
        <f t="shared" si="89"/>
        <v>29</v>
      </c>
      <c r="F355" s="13">
        <f t="shared" si="90"/>
        <v>29</v>
      </c>
      <c r="G355" s="67">
        <f t="shared" si="91"/>
        <v>0</v>
      </c>
      <c r="H355" s="64">
        <f t="shared" si="87"/>
        <v>9</v>
      </c>
      <c r="I355" s="80">
        <v>0</v>
      </c>
      <c r="J355" s="80">
        <v>0</v>
      </c>
      <c r="K355" s="59">
        <f t="shared" si="92"/>
        <v>0</v>
      </c>
      <c r="L355" s="59">
        <v>0</v>
      </c>
      <c r="M355" s="59">
        <v>9</v>
      </c>
      <c r="N355" s="59">
        <f t="shared" si="93"/>
        <v>9</v>
      </c>
      <c r="O355" s="15">
        <f t="shared" si="94"/>
        <v>0</v>
      </c>
      <c r="P355" s="87">
        <f t="shared" si="95"/>
        <v>20</v>
      </c>
      <c r="Q355" s="110">
        <v>0</v>
      </c>
      <c r="R355" s="59">
        <v>20</v>
      </c>
      <c r="S355" s="14">
        <v>0</v>
      </c>
      <c r="T355" s="59">
        <v>0</v>
      </c>
      <c r="U355" s="15">
        <f t="shared" si="88"/>
        <v>0</v>
      </c>
      <c r="V355" s="14">
        <v>0</v>
      </c>
      <c r="W355" s="15">
        <f t="shared" si="96"/>
        <v>0</v>
      </c>
      <c r="X355" s="14">
        <v>0</v>
      </c>
      <c r="Y355" s="75">
        <v>0</v>
      </c>
      <c r="Z355" s="87">
        <f t="shared" si="97"/>
        <v>0</v>
      </c>
      <c r="AA355" s="14">
        <f t="shared" si="98"/>
        <v>0</v>
      </c>
      <c r="AB355" s="75">
        <v>0</v>
      </c>
      <c r="AC355" s="75">
        <v>0</v>
      </c>
      <c r="AD355" s="59">
        <f t="shared" si="99"/>
        <v>0</v>
      </c>
      <c r="AE355" s="73">
        <v>0</v>
      </c>
      <c r="AF355" s="73">
        <v>0</v>
      </c>
      <c r="AG355" s="15">
        <f t="shared" si="100"/>
        <v>0</v>
      </c>
      <c r="AH355" s="16">
        <f t="shared" si="101"/>
        <v>0</v>
      </c>
      <c r="AI355" s="17">
        <f t="shared" si="102"/>
        <v>29</v>
      </c>
      <c r="AJ355" s="12">
        <f>VLOOKUP(A355,'PreK Proxy - Sept. 2024'!$A$2:$I$674,9,FALSE)</f>
        <v>43</v>
      </c>
      <c r="AK355" s="18">
        <f t="shared" si="103"/>
        <v>0.67441860465116277</v>
      </c>
    </row>
    <row r="356" spans="1:37" x14ac:dyDescent="0.35">
      <c r="A356" s="11" t="s">
        <v>720</v>
      </c>
      <c r="B356" s="12" t="s">
        <v>721</v>
      </c>
      <c r="C356" s="54" t="s">
        <v>1378</v>
      </c>
      <c r="D356" s="54" t="s">
        <v>117</v>
      </c>
      <c r="E356" s="66">
        <f t="shared" si="89"/>
        <v>49</v>
      </c>
      <c r="F356" s="13">
        <f t="shared" si="90"/>
        <v>49</v>
      </c>
      <c r="G356" s="67">
        <f t="shared" si="91"/>
        <v>0</v>
      </c>
      <c r="H356" s="64">
        <f t="shared" si="87"/>
        <v>5</v>
      </c>
      <c r="I356" s="80">
        <v>0</v>
      </c>
      <c r="J356" s="80">
        <v>0</v>
      </c>
      <c r="K356" s="59">
        <f t="shared" si="92"/>
        <v>0</v>
      </c>
      <c r="L356" s="59">
        <v>0</v>
      </c>
      <c r="M356" s="59">
        <v>5</v>
      </c>
      <c r="N356" s="59">
        <f t="shared" si="93"/>
        <v>5</v>
      </c>
      <c r="O356" s="15">
        <f t="shared" si="94"/>
        <v>0</v>
      </c>
      <c r="P356" s="87">
        <f t="shared" si="95"/>
        <v>44</v>
      </c>
      <c r="Q356" s="110">
        <v>0</v>
      </c>
      <c r="R356" s="59">
        <v>44</v>
      </c>
      <c r="S356" s="14">
        <v>0</v>
      </c>
      <c r="T356" s="59">
        <v>0</v>
      </c>
      <c r="U356" s="15">
        <f t="shared" si="88"/>
        <v>0</v>
      </c>
      <c r="V356" s="14">
        <v>0</v>
      </c>
      <c r="W356" s="15">
        <f t="shared" si="96"/>
        <v>0</v>
      </c>
      <c r="X356" s="14">
        <v>0</v>
      </c>
      <c r="Y356" s="75">
        <v>0</v>
      </c>
      <c r="Z356" s="87">
        <f t="shared" si="97"/>
        <v>0</v>
      </c>
      <c r="AA356" s="14">
        <f t="shared" si="98"/>
        <v>0</v>
      </c>
      <c r="AB356" s="75">
        <v>0</v>
      </c>
      <c r="AC356" s="75">
        <v>0</v>
      </c>
      <c r="AD356" s="59">
        <f t="shared" si="99"/>
        <v>0</v>
      </c>
      <c r="AE356" s="73">
        <v>0</v>
      </c>
      <c r="AF356" s="73">
        <v>0</v>
      </c>
      <c r="AG356" s="15">
        <f t="shared" si="100"/>
        <v>0</v>
      </c>
      <c r="AH356" s="16">
        <f t="shared" si="101"/>
        <v>0</v>
      </c>
      <c r="AI356" s="17">
        <f t="shared" si="102"/>
        <v>49</v>
      </c>
      <c r="AJ356" s="12">
        <f>VLOOKUP(A356,'PreK Proxy - Sept. 2024'!$A$2:$I$674,9,FALSE)</f>
        <v>104</v>
      </c>
      <c r="AK356" s="18">
        <f t="shared" si="103"/>
        <v>0.47115384615384615</v>
      </c>
    </row>
    <row r="357" spans="1:37" x14ac:dyDescent="0.35">
      <c r="A357" s="11" t="s">
        <v>722</v>
      </c>
      <c r="B357" s="12" t="s">
        <v>723</v>
      </c>
      <c r="C357" s="54" t="s">
        <v>1378</v>
      </c>
      <c r="D357" s="54" t="s">
        <v>117</v>
      </c>
      <c r="E357" s="66">
        <f t="shared" si="89"/>
        <v>65</v>
      </c>
      <c r="F357" s="13">
        <f t="shared" si="90"/>
        <v>65</v>
      </c>
      <c r="G357" s="67">
        <f t="shared" si="91"/>
        <v>0</v>
      </c>
      <c r="H357" s="64">
        <f t="shared" si="87"/>
        <v>65</v>
      </c>
      <c r="I357" s="80">
        <v>0</v>
      </c>
      <c r="J357" s="80">
        <v>0</v>
      </c>
      <c r="K357" s="59">
        <f t="shared" si="92"/>
        <v>0</v>
      </c>
      <c r="L357" s="59">
        <v>0</v>
      </c>
      <c r="M357" s="59">
        <v>65</v>
      </c>
      <c r="N357" s="59">
        <f t="shared" si="93"/>
        <v>65</v>
      </c>
      <c r="O357" s="15">
        <f t="shared" si="94"/>
        <v>0</v>
      </c>
      <c r="P357" s="87">
        <f t="shared" si="95"/>
        <v>0</v>
      </c>
      <c r="Q357" s="110">
        <v>0</v>
      </c>
      <c r="R357" s="59">
        <v>0</v>
      </c>
      <c r="S357" s="14">
        <v>0</v>
      </c>
      <c r="T357" s="59">
        <v>0</v>
      </c>
      <c r="U357" s="15">
        <f t="shared" si="88"/>
        <v>0</v>
      </c>
      <c r="V357" s="14">
        <v>0</v>
      </c>
      <c r="W357" s="15">
        <f t="shared" si="96"/>
        <v>0</v>
      </c>
      <c r="X357" s="14">
        <v>0</v>
      </c>
      <c r="Y357" s="75">
        <v>0</v>
      </c>
      <c r="Z357" s="87">
        <f t="shared" si="97"/>
        <v>0</v>
      </c>
      <c r="AA357" s="14">
        <f t="shared" si="98"/>
        <v>0</v>
      </c>
      <c r="AB357" s="75">
        <v>0</v>
      </c>
      <c r="AC357" s="75">
        <v>0</v>
      </c>
      <c r="AD357" s="59">
        <f t="shared" si="99"/>
        <v>0</v>
      </c>
      <c r="AE357" s="73">
        <v>0</v>
      </c>
      <c r="AF357" s="73">
        <v>0</v>
      </c>
      <c r="AG357" s="15">
        <f t="shared" si="100"/>
        <v>0</v>
      </c>
      <c r="AH357" s="16">
        <f t="shared" si="101"/>
        <v>0</v>
      </c>
      <c r="AI357" s="17">
        <f t="shared" si="102"/>
        <v>65</v>
      </c>
      <c r="AJ357" s="12">
        <f>VLOOKUP(A357,'PreK Proxy - Sept. 2024'!$A$2:$I$674,9,FALSE)</f>
        <v>71</v>
      </c>
      <c r="AK357" s="18">
        <f t="shared" si="103"/>
        <v>0.91549295774647887</v>
      </c>
    </row>
    <row r="358" spans="1:37" x14ac:dyDescent="0.35">
      <c r="A358" s="11" t="s">
        <v>724</v>
      </c>
      <c r="B358" s="12" t="s">
        <v>725</v>
      </c>
      <c r="C358" s="54" t="s">
        <v>1378</v>
      </c>
      <c r="D358" s="54" t="s">
        <v>117</v>
      </c>
      <c r="E358" s="66">
        <f t="shared" si="89"/>
        <v>15</v>
      </c>
      <c r="F358" s="13">
        <f t="shared" si="90"/>
        <v>15</v>
      </c>
      <c r="G358" s="67">
        <f t="shared" si="91"/>
        <v>0</v>
      </c>
      <c r="H358" s="64">
        <f t="shared" si="87"/>
        <v>15</v>
      </c>
      <c r="I358" s="80">
        <v>0</v>
      </c>
      <c r="J358" s="80">
        <v>0</v>
      </c>
      <c r="K358" s="59">
        <f t="shared" si="92"/>
        <v>0</v>
      </c>
      <c r="L358" s="59">
        <v>0</v>
      </c>
      <c r="M358" s="59">
        <v>15</v>
      </c>
      <c r="N358" s="59">
        <f t="shared" si="93"/>
        <v>15</v>
      </c>
      <c r="O358" s="15">
        <f t="shared" si="94"/>
        <v>0</v>
      </c>
      <c r="P358" s="87">
        <f t="shared" si="95"/>
        <v>0</v>
      </c>
      <c r="Q358" s="110">
        <v>0</v>
      </c>
      <c r="R358" s="59">
        <v>0</v>
      </c>
      <c r="S358" s="14">
        <v>0</v>
      </c>
      <c r="T358" s="59">
        <v>0</v>
      </c>
      <c r="U358" s="15">
        <f t="shared" si="88"/>
        <v>0</v>
      </c>
      <c r="V358" s="14">
        <v>0</v>
      </c>
      <c r="W358" s="15">
        <f t="shared" si="96"/>
        <v>0</v>
      </c>
      <c r="X358" s="14">
        <v>0</v>
      </c>
      <c r="Y358" s="75">
        <v>0</v>
      </c>
      <c r="Z358" s="87">
        <f t="shared" si="97"/>
        <v>0</v>
      </c>
      <c r="AA358" s="14">
        <f t="shared" si="98"/>
        <v>0</v>
      </c>
      <c r="AB358" s="75">
        <v>0</v>
      </c>
      <c r="AC358" s="75">
        <v>0</v>
      </c>
      <c r="AD358" s="59">
        <f t="shared" si="99"/>
        <v>0</v>
      </c>
      <c r="AE358" s="73">
        <v>0</v>
      </c>
      <c r="AF358" s="73">
        <v>0</v>
      </c>
      <c r="AG358" s="15">
        <f t="shared" si="100"/>
        <v>0</v>
      </c>
      <c r="AH358" s="16">
        <f t="shared" si="101"/>
        <v>0</v>
      </c>
      <c r="AI358" s="17">
        <f t="shared" si="102"/>
        <v>15</v>
      </c>
      <c r="AJ358" s="12">
        <f>VLOOKUP(A358,'PreK Proxy - Sept. 2024'!$A$2:$I$674,9,FALSE)</f>
        <v>45</v>
      </c>
      <c r="AK358" s="18">
        <f t="shared" si="103"/>
        <v>0.33333333333333331</v>
      </c>
    </row>
    <row r="359" spans="1:37" x14ac:dyDescent="0.35">
      <c r="A359" s="11" t="s">
        <v>726</v>
      </c>
      <c r="B359" s="12" t="s">
        <v>727</v>
      </c>
      <c r="C359" s="54" t="s">
        <v>1378</v>
      </c>
      <c r="D359" s="54" t="s">
        <v>117</v>
      </c>
      <c r="E359" s="66">
        <f t="shared" si="89"/>
        <v>198</v>
      </c>
      <c r="F359" s="13">
        <f t="shared" si="90"/>
        <v>198</v>
      </c>
      <c r="G359" s="67">
        <f t="shared" si="91"/>
        <v>0</v>
      </c>
      <c r="H359" s="64">
        <f t="shared" si="87"/>
        <v>80</v>
      </c>
      <c r="I359" s="80">
        <v>0</v>
      </c>
      <c r="J359" s="80">
        <v>0</v>
      </c>
      <c r="K359" s="59">
        <f t="shared" si="92"/>
        <v>0</v>
      </c>
      <c r="L359" s="59">
        <v>0</v>
      </c>
      <c r="M359" s="59">
        <v>80</v>
      </c>
      <c r="N359" s="59">
        <f t="shared" si="93"/>
        <v>80</v>
      </c>
      <c r="O359" s="15">
        <f t="shared" si="94"/>
        <v>0</v>
      </c>
      <c r="P359" s="87">
        <f t="shared" si="95"/>
        <v>118</v>
      </c>
      <c r="Q359" s="110">
        <v>0</v>
      </c>
      <c r="R359" s="59">
        <v>118</v>
      </c>
      <c r="S359" s="14">
        <v>0</v>
      </c>
      <c r="T359" s="59">
        <v>0</v>
      </c>
      <c r="U359" s="15">
        <f t="shared" si="88"/>
        <v>0</v>
      </c>
      <c r="V359" s="14">
        <v>0</v>
      </c>
      <c r="W359" s="15">
        <f t="shared" si="96"/>
        <v>0</v>
      </c>
      <c r="X359" s="14">
        <v>0</v>
      </c>
      <c r="Y359" s="75">
        <v>0</v>
      </c>
      <c r="Z359" s="87">
        <f t="shared" si="97"/>
        <v>0</v>
      </c>
      <c r="AA359" s="14">
        <f t="shared" si="98"/>
        <v>0</v>
      </c>
      <c r="AB359" s="75">
        <v>0</v>
      </c>
      <c r="AC359" s="75">
        <v>0</v>
      </c>
      <c r="AD359" s="59">
        <f t="shared" si="99"/>
        <v>0</v>
      </c>
      <c r="AE359" s="73">
        <v>0</v>
      </c>
      <c r="AF359" s="73">
        <v>0</v>
      </c>
      <c r="AG359" s="15">
        <f t="shared" si="100"/>
        <v>0</v>
      </c>
      <c r="AH359" s="16">
        <f t="shared" si="101"/>
        <v>0</v>
      </c>
      <c r="AI359" s="17">
        <f t="shared" si="102"/>
        <v>198</v>
      </c>
      <c r="AJ359" s="12">
        <f>VLOOKUP(A359,'PreK Proxy - Sept. 2024'!$A$2:$I$674,9,FALSE)</f>
        <v>306</v>
      </c>
      <c r="AK359" s="18">
        <f t="shared" si="103"/>
        <v>0.6470588235294118</v>
      </c>
    </row>
    <row r="360" spans="1:37" x14ac:dyDescent="0.35">
      <c r="A360" s="11" t="s">
        <v>728</v>
      </c>
      <c r="B360" s="12" t="s">
        <v>729</v>
      </c>
      <c r="C360" s="54" t="s">
        <v>1378</v>
      </c>
      <c r="D360" s="54" t="s">
        <v>117</v>
      </c>
      <c r="E360" s="66">
        <f t="shared" si="89"/>
        <v>116</v>
      </c>
      <c r="F360" s="13">
        <f t="shared" si="90"/>
        <v>116</v>
      </c>
      <c r="G360" s="67">
        <f t="shared" si="91"/>
        <v>0</v>
      </c>
      <c r="H360" s="64">
        <f t="shared" si="87"/>
        <v>32</v>
      </c>
      <c r="I360" s="80">
        <v>0</v>
      </c>
      <c r="J360" s="80">
        <v>0</v>
      </c>
      <c r="K360" s="59">
        <f t="shared" si="92"/>
        <v>0</v>
      </c>
      <c r="L360" s="59">
        <v>0</v>
      </c>
      <c r="M360" s="59">
        <v>32</v>
      </c>
      <c r="N360" s="59">
        <f t="shared" si="93"/>
        <v>32</v>
      </c>
      <c r="O360" s="15">
        <f t="shared" si="94"/>
        <v>0</v>
      </c>
      <c r="P360" s="87">
        <f t="shared" si="95"/>
        <v>84</v>
      </c>
      <c r="Q360" s="110">
        <v>0</v>
      </c>
      <c r="R360" s="59">
        <v>84</v>
      </c>
      <c r="S360" s="14">
        <v>0</v>
      </c>
      <c r="T360" s="59">
        <v>0</v>
      </c>
      <c r="U360" s="15">
        <f t="shared" si="88"/>
        <v>0</v>
      </c>
      <c r="V360" s="14">
        <v>0</v>
      </c>
      <c r="W360" s="15">
        <f t="shared" si="96"/>
        <v>0</v>
      </c>
      <c r="X360" s="14">
        <v>0</v>
      </c>
      <c r="Y360" s="75">
        <v>0</v>
      </c>
      <c r="Z360" s="87">
        <f t="shared" si="97"/>
        <v>0</v>
      </c>
      <c r="AA360" s="14">
        <f t="shared" si="98"/>
        <v>0</v>
      </c>
      <c r="AB360" s="75">
        <v>0</v>
      </c>
      <c r="AC360" s="75">
        <v>0</v>
      </c>
      <c r="AD360" s="59">
        <f t="shared" si="99"/>
        <v>0</v>
      </c>
      <c r="AE360" s="73">
        <v>0</v>
      </c>
      <c r="AF360" s="73">
        <v>0</v>
      </c>
      <c r="AG360" s="15">
        <f t="shared" si="100"/>
        <v>0</v>
      </c>
      <c r="AH360" s="16">
        <f t="shared" si="101"/>
        <v>0</v>
      </c>
      <c r="AI360" s="17">
        <f t="shared" si="102"/>
        <v>116</v>
      </c>
      <c r="AJ360" s="12">
        <f>VLOOKUP(A360,'PreK Proxy - Sept. 2024'!$A$2:$I$674,9,FALSE)</f>
        <v>244</v>
      </c>
      <c r="AK360" s="18">
        <f t="shared" si="103"/>
        <v>0.47540983606557374</v>
      </c>
    </row>
    <row r="361" spans="1:37" x14ac:dyDescent="0.35">
      <c r="A361" s="11" t="s">
        <v>730</v>
      </c>
      <c r="B361" s="12" t="s">
        <v>731</v>
      </c>
      <c r="C361" s="54" t="s">
        <v>1378</v>
      </c>
      <c r="D361" s="54" t="s">
        <v>117</v>
      </c>
      <c r="E361" s="66">
        <f t="shared" si="89"/>
        <v>54</v>
      </c>
      <c r="F361" s="13">
        <f t="shared" si="90"/>
        <v>54</v>
      </c>
      <c r="G361" s="67">
        <f t="shared" si="91"/>
        <v>0</v>
      </c>
      <c r="H361" s="64">
        <f t="shared" si="87"/>
        <v>29</v>
      </c>
      <c r="I361" s="80">
        <v>0</v>
      </c>
      <c r="J361" s="80">
        <v>0</v>
      </c>
      <c r="K361" s="59">
        <f t="shared" si="92"/>
        <v>0</v>
      </c>
      <c r="L361" s="59">
        <v>0</v>
      </c>
      <c r="M361" s="59">
        <v>29</v>
      </c>
      <c r="N361" s="59">
        <f t="shared" si="93"/>
        <v>29</v>
      </c>
      <c r="O361" s="15">
        <f t="shared" si="94"/>
        <v>0</v>
      </c>
      <c r="P361" s="87">
        <f t="shared" si="95"/>
        <v>25</v>
      </c>
      <c r="Q361" s="110">
        <v>0</v>
      </c>
      <c r="R361" s="59">
        <v>25</v>
      </c>
      <c r="S361" s="14">
        <v>0</v>
      </c>
      <c r="T361" s="59">
        <v>0</v>
      </c>
      <c r="U361" s="15">
        <f t="shared" si="88"/>
        <v>0</v>
      </c>
      <c r="V361" s="14">
        <v>0</v>
      </c>
      <c r="W361" s="15">
        <f t="shared" si="96"/>
        <v>0</v>
      </c>
      <c r="X361" s="14">
        <v>0</v>
      </c>
      <c r="Y361" s="75">
        <v>0</v>
      </c>
      <c r="Z361" s="87">
        <f t="shared" si="97"/>
        <v>0</v>
      </c>
      <c r="AA361" s="14">
        <f t="shared" si="98"/>
        <v>0</v>
      </c>
      <c r="AB361" s="75">
        <v>0</v>
      </c>
      <c r="AC361" s="75">
        <v>0</v>
      </c>
      <c r="AD361" s="59">
        <f t="shared" si="99"/>
        <v>0</v>
      </c>
      <c r="AE361" s="73">
        <v>0</v>
      </c>
      <c r="AF361" s="73">
        <v>0</v>
      </c>
      <c r="AG361" s="15">
        <f t="shared" si="100"/>
        <v>0</v>
      </c>
      <c r="AH361" s="16">
        <f t="shared" si="101"/>
        <v>0</v>
      </c>
      <c r="AI361" s="17">
        <f t="shared" si="102"/>
        <v>54</v>
      </c>
      <c r="AJ361" s="12">
        <f>VLOOKUP(A361,'PreK Proxy - Sept. 2024'!$A$2:$I$674,9,FALSE)</f>
        <v>79</v>
      </c>
      <c r="AK361" s="18">
        <f t="shared" si="103"/>
        <v>0.68354430379746833</v>
      </c>
    </row>
    <row r="362" spans="1:37" x14ac:dyDescent="0.35">
      <c r="A362" s="11" t="s">
        <v>732</v>
      </c>
      <c r="B362" s="12" t="s">
        <v>733</v>
      </c>
      <c r="C362" s="54" t="s">
        <v>1378</v>
      </c>
      <c r="D362" s="54" t="s">
        <v>117</v>
      </c>
      <c r="E362" s="66">
        <f t="shared" si="89"/>
        <v>38</v>
      </c>
      <c r="F362" s="13">
        <f t="shared" si="90"/>
        <v>38</v>
      </c>
      <c r="G362" s="67">
        <f t="shared" si="91"/>
        <v>0</v>
      </c>
      <c r="H362" s="64">
        <f t="shared" si="87"/>
        <v>38</v>
      </c>
      <c r="I362" s="80">
        <v>0</v>
      </c>
      <c r="J362" s="80">
        <v>0</v>
      </c>
      <c r="K362" s="59">
        <f t="shared" si="92"/>
        <v>0</v>
      </c>
      <c r="L362" s="59">
        <v>0</v>
      </c>
      <c r="M362" s="59">
        <v>38</v>
      </c>
      <c r="N362" s="59">
        <f t="shared" si="93"/>
        <v>38</v>
      </c>
      <c r="O362" s="15">
        <f t="shared" si="94"/>
        <v>0</v>
      </c>
      <c r="P362" s="87">
        <f t="shared" si="95"/>
        <v>0</v>
      </c>
      <c r="Q362" s="110">
        <v>0</v>
      </c>
      <c r="R362" s="59">
        <v>0</v>
      </c>
      <c r="S362" s="14">
        <v>0</v>
      </c>
      <c r="T362" s="59">
        <v>0</v>
      </c>
      <c r="U362" s="15">
        <f t="shared" si="88"/>
        <v>0</v>
      </c>
      <c r="V362" s="14">
        <v>0</v>
      </c>
      <c r="W362" s="15">
        <f t="shared" si="96"/>
        <v>0</v>
      </c>
      <c r="X362" s="14">
        <v>0</v>
      </c>
      <c r="Y362" s="75">
        <v>0</v>
      </c>
      <c r="Z362" s="87">
        <f t="shared" si="97"/>
        <v>0</v>
      </c>
      <c r="AA362" s="14">
        <f t="shared" si="98"/>
        <v>0</v>
      </c>
      <c r="AB362" s="75">
        <v>0</v>
      </c>
      <c r="AC362" s="75">
        <v>0</v>
      </c>
      <c r="AD362" s="59">
        <f t="shared" si="99"/>
        <v>0</v>
      </c>
      <c r="AE362" s="73">
        <v>0</v>
      </c>
      <c r="AF362" s="73">
        <v>0</v>
      </c>
      <c r="AG362" s="15">
        <f t="shared" si="100"/>
        <v>0</v>
      </c>
      <c r="AH362" s="16">
        <f t="shared" si="101"/>
        <v>0</v>
      </c>
      <c r="AI362" s="17">
        <f t="shared" si="102"/>
        <v>38</v>
      </c>
      <c r="AJ362" s="12">
        <f>VLOOKUP(A362,'PreK Proxy - Sept. 2024'!$A$2:$I$674,9,FALSE)</f>
        <v>48</v>
      </c>
      <c r="AK362" s="18">
        <f t="shared" si="103"/>
        <v>0.79166666666666663</v>
      </c>
    </row>
    <row r="363" spans="1:37" x14ac:dyDescent="0.35">
      <c r="A363" s="11" t="s">
        <v>734</v>
      </c>
      <c r="B363" s="12" t="s">
        <v>735</v>
      </c>
      <c r="C363" s="54" t="s">
        <v>1378</v>
      </c>
      <c r="D363" s="54" t="s">
        <v>117</v>
      </c>
      <c r="E363" s="66">
        <f t="shared" si="89"/>
        <v>209</v>
      </c>
      <c r="F363" s="13">
        <f t="shared" si="90"/>
        <v>182</v>
      </c>
      <c r="G363" s="67">
        <f t="shared" si="91"/>
        <v>27</v>
      </c>
      <c r="H363" s="64">
        <f t="shared" si="87"/>
        <v>209</v>
      </c>
      <c r="I363" s="80">
        <v>0</v>
      </c>
      <c r="J363" s="80">
        <v>27</v>
      </c>
      <c r="K363" s="59">
        <f t="shared" si="92"/>
        <v>27</v>
      </c>
      <c r="L363" s="59">
        <v>0</v>
      </c>
      <c r="M363" s="59">
        <v>182</v>
      </c>
      <c r="N363" s="59">
        <f t="shared" si="93"/>
        <v>182</v>
      </c>
      <c r="O363" s="15">
        <f t="shared" si="94"/>
        <v>0</v>
      </c>
      <c r="P363" s="87">
        <f t="shared" si="95"/>
        <v>0</v>
      </c>
      <c r="Q363" s="110">
        <v>0</v>
      </c>
      <c r="R363" s="59">
        <v>0</v>
      </c>
      <c r="S363" s="14">
        <v>0</v>
      </c>
      <c r="T363" s="59">
        <v>0</v>
      </c>
      <c r="U363" s="15">
        <f t="shared" si="88"/>
        <v>0</v>
      </c>
      <c r="V363" s="14">
        <v>0</v>
      </c>
      <c r="W363" s="15">
        <f t="shared" si="96"/>
        <v>0</v>
      </c>
      <c r="X363" s="14">
        <v>0</v>
      </c>
      <c r="Y363" s="75">
        <v>0</v>
      </c>
      <c r="Z363" s="87">
        <f t="shared" si="97"/>
        <v>0</v>
      </c>
      <c r="AA363" s="14">
        <f t="shared" si="98"/>
        <v>0</v>
      </c>
      <c r="AB363" s="75">
        <v>0</v>
      </c>
      <c r="AC363" s="75">
        <v>0</v>
      </c>
      <c r="AD363" s="59">
        <f t="shared" si="99"/>
        <v>0</v>
      </c>
      <c r="AE363" s="73">
        <v>0</v>
      </c>
      <c r="AF363" s="73">
        <v>0</v>
      </c>
      <c r="AG363" s="15">
        <f t="shared" si="100"/>
        <v>0</v>
      </c>
      <c r="AH363" s="16">
        <f t="shared" si="101"/>
        <v>27</v>
      </c>
      <c r="AI363" s="17">
        <f t="shared" si="102"/>
        <v>182</v>
      </c>
      <c r="AJ363" s="12">
        <f>VLOOKUP(A363,'PreK Proxy - Sept. 2024'!$A$2:$I$674,9,FALSE)</f>
        <v>382</v>
      </c>
      <c r="AK363" s="18">
        <f t="shared" si="103"/>
        <v>0.54712041884816753</v>
      </c>
    </row>
    <row r="364" spans="1:37" x14ac:dyDescent="0.35">
      <c r="A364" s="11" t="s">
        <v>736</v>
      </c>
      <c r="B364" s="12" t="s">
        <v>737</v>
      </c>
      <c r="C364" s="54" t="s">
        <v>1378</v>
      </c>
      <c r="D364" s="54" t="s">
        <v>117</v>
      </c>
      <c r="E364" s="66">
        <f t="shared" si="89"/>
        <v>54</v>
      </c>
      <c r="F364" s="13">
        <f t="shared" si="90"/>
        <v>54</v>
      </c>
      <c r="G364" s="67">
        <f t="shared" si="91"/>
        <v>0</v>
      </c>
      <c r="H364" s="64">
        <f t="shared" si="87"/>
        <v>26</v>
      </c>
      <c r="I364" s="80">
        <v>0</v>
      </c>
      <c r="J364" s="80">
        <v>0</v>
      </c>
      <c r="K364" s="59">
        <f t="shared" si="92"/>
        <v>0</v>
      </c>
      <c r="L364" s="59">
        <v>18</v>
      </c>
      <c r="M364" s="59">
        <v>8</v>
      </c>
      <c r="N364" s="59">
        <f t="shared" si="93"/>
        <v>26</v>
      </c>
      <c r="O364" s="15">
        <f t="shared" si="94"/>
        <v>0</v>
      </c>
      <c r="P364" s="87">
        <f t="shared" si="95"/>
        <v>0</v>
      </c>
      <c r="Q364" s="110">
        <v>0</v>
      </c>
      <c r="R364" s="59">
        <v>0</v>
      </c>
      <c r="S364" s="14">
        <v>28</v>
      </c>
      <c r="T364" s="59">
        <v>0</v>
      </c>
      <c r="U364" s="15">
        <f t="shared" si="88"/>
        <v>28</v>
      </c>
      <c r="V364" s="14">
        <v>0</v>
      </c>
      <c r="W364" s="15">
        <f t="shared" si="96"/>
        <v>0</v>
      </c>
      <c r="X364" s="14">
        <v>0</v>
      </c>
      <c r="Y364" s="75">
        <v>0</v>
      </c>
      <c r="Z364" s="87">
        <f t="shared" si="97"/>
        <v>0</v>
      </c>
      <c r="AA364" s="14">
        <f t="shared" si="98"/>
        <v>0</v>
      </c>
      <c r="AB364" s="75">
        <v>0</v>
      </c>
      <c r="AC364" s="75">
        <v>0</v>
      </c>
      <c r="AD364" s="59">
        <f t="shared" si="99"/>
        <v>0</v>
      </c>
      <c r="AE364" s="73">
        <v>0</v>
      </c>
      <c r="AF364" s="73">
        <v>0</v>
      </c>
      <c r="AG364" s="15">
        <f t="shared" si="100"/>
        <v>0</v>
      </c>
      <c r="AH364" s="16">
        <f t="shared" si="101"/>
        <v>0</v>
      </c>
      <c r="AI364" s="17">
        <f t="shared" si="102"/>
        <v>36</v>
      </c>
      <c r="AJ364" s="12">
        <f>VLOOKUP(A364,'PreK Proxy - Sept. 2024'!$A$2:$I$674,9,FALSE)</f>
        <v>34</v>
      </c>
      <c r="AK364" s="18">
        <f t="shared" si="103"/>
        <v>1</v>
      </c>
    </row>
    <row r="365" spans="1:37" x14ac:dyDescent="0.35">
      <c r="A365" s="11" t="s">
        <v>738</v>
      </c>
      <c r="B365" s="12" t="s">
        <v>739</v>
      </c>
      <c r="C365" s="54" t="s">
        <v>1378</v>
      </c>
      <c r="D365" s="54" t="s">
        <v>117</v>
      </c>
      <c r="E365" s="66">
        <f t="shared" si="89"/>
        <v>13</v>
      </c>
      <c r="F365" s="13">
        <f t="shared" si="90"/>
        <v>13</v>
      </c>
      <c r="G365" s="67">
        <f t="shared" si="91"/>
        <v>0</v>
      </c>
      <c r="H365" s="64">
        <f t="shared" si="87"/>
        <v>0</v>
      </c>
      <c r="I365" s="80">
        <v>0</v>
      </c>
      <c r="J365" s="80">
        <v>0</v>
      </c>
      <c r="K365" s="59">
        <f t="shared" si="92"/>
        <v>0</v>
      </c>
      <c r="L365" s="59">
        <v>0</v>
      </c>
      <c r="M365" s="59">
        <v>0</v>
      </c>
      <c r="N365" s="59">
        <f t="shared" si="93"/>
        <v>0</v>
      </c>
      <c r="O365" s="15">
        <f t="shared" si="94"/>
        <v>0</v>
      </c>
      <c r="P365" s="87">
        <f t="shared" si="95"/>
        <v>13</v>
      </c>
      <c r="Q365" s="110">
        <v>0</v>
      </c>
      <c r="R365" s="59">
        <v>13</v>
      </c>
      <c r="S365" s="14">
        <v>0</v>
      </c>
      <c r="T365" s="59">
        <v>0</v>
      </c>
      <c r="U365" s="15">
        <f t="shared" si="88"/>
        <v>0</v>
      </c>
      <c r="V365" s="14">
        <v>0</v>
      </c>
      <c r="W365" s="15">
        <f t="shared" si="96"/>
        <v>0</v>
      </c>
      <c r="X365" s="14">
        <v>0</v>
      </c>
      <c r="Y365" s="75">
        <v>0</v>
      </c>
      <c r="Z365" s="87">
        <f t="shared" si="97"/>
        <v>0</v>
      </c>
      <c r="AA365" s="14">
        <f t="shared" si="98"/>
        <v>0</v>
      </c>
      <c r="AB365" s="75">
        <v>0</v>
      </c>
      <c r="AC365" s="75">
        <v>0</v>
      </c>
      <c r="AD365" s="59">
        <f t="shared" si="99"/>
        <v>0</v>
      </c>
      <c r="AE365" s="73">
        <v>0</v>
      </c>
      <c r="AF365" s="73">
        <v>0</v>
      </c>
      <c r="AG365" s="15">
        <f t="shared" si="100"/>
        <v>0</v>
      </c>
      <c r="AH365" s="16">
        <f t="shared" si="101"/>
        <v>0</v>
      </c>
      <c r="AI365" s="17">
        <f t="shared" si="102"/>
        <v>13</v>
      </c>
      <c r="AJ365" s="12">
        <f>VLOOKUP(A365,'PreK Proxy - Sept. 2024'!$A$2:$I$674,9,FALSE)</f>
        <v>85</v>
      </c>
      <c r="AK365" s="18">
        <f t="shared" si="103"/>
        <v>0.15294117647058825</v>
      </c>
    </row>
    <row r="366" spans="1:37" x14ac:dyDescent="0.35">
      <c r="A366" s="11" t="s">
        <v>740</v>
      </c>
      <c r="B366" s="12" t="s">
        <v>741</v>
      </c>
      <c r="C366" s="54" t="s">
        <v>1378</v>
      </c>
      <c r="D366" s="54" t="s">
        <v>117</v>
      </c>
      <c r="E366" s="66">
        <f t="shared" si="89"/>
        <v>1641</v>
      </c>
      <c r="F366" s="13">
        <f t="shared" si="90"/>
        <v>1372</v>
      </c>
      <c r="G366" s="67">
        <f t="shared" si="91"/>
        <v>269</v>
      </c>
      <c r="H366" s="64">
        <f t="shared" si="87"/>
        <v>1529</v>
      </c>
      <c r="I366" s="80">
        <v>167</v>
      </c>
      <c r="J366" s="80">
        <v>102</v>
      </c>
      <c r="K366" s="59">
        <f t="shared" si="92"/>
        <v>269</v>
      </c>
      <c r="L366" s="59">
        <v>415</v>
      </c>
      <c r="M366" s="59">
        <v>845</v>
      </c>
      <c r="N366" s="59">
        <f t="shared" si="93"/>
        <v>1260</v>
      </c>
      <c r="O366" s="15">
        <f t="shared" si="94"/>
        <v>1</v>
      </c>
      <c r="P366" s="87">
        <f t="shared" si="95"/>
        <v>0</v>
      </c>
      <c r="Q366" s="110">
        <v>0</v>
      </c>
      <c r="R366" s="59">
        <v>0</v>
      </c>
      <c r="S366" s="14">
        <v>112</v>
      </c>
      <c r="T366" s="59">
        <v>1</v>
      </c>
      <c r="U366" s="15">
        <f t="shared" si="88"/>
        <v>113</v>
      </c>
      <c r="V366" s="14">
        <v>0</v>
      </c>
      <c r="W366" s="15">
        <f t="shared" si="96"/>
        <v>0</v>
      </c>
      <c r="X366" s="14">
        <v>0</v>
      </c>
      <c r="Y366" s="75">
        <v>0</v>
      </c>
      <c r="Z366" s="87">
        <f t="shared" si="97"/>
        <v>0</v>
      </c>
      <c r="AA366" s="14">
        <f t="shared" si="98"/>
        <v>0</v>
      </c>
      <c r="AB366" s="75">
        <v>0</v>
      </c>
      <c r="AC366" s="75">
        <v>0</v>
      </c>
      <c r="AD366" s="59">
        <f t="shared" si="99"/>
        <v>0</v>
      </c>
      <c r="AE366" s="73">
        <v>0</v>
      </c>
      <c r="AF366" s="73">
        <v>0</v>
      </c>
      <c r="AG366" s="15">
        <f t="shared" si="100"/>
        <v>0</v>
      </c>
      <c r="AH366" s="16">
        <f t="shared" si="101"/>
        <v>102</v>
      </c>
      <c r="AI366" s="17">
        <f t="shared" si="102"/>
        <v>957</v>
      </c>
      <c r="AJ366" s="12">
        <f>VLOOKUP(A366,'PreK Proxy - Sept. 2024'!$A$2:$I$674,9,FALSE)</f>
        <v>1311</v>
      </c>
      <c r="AK366" s="18">
        <f t="shared" si="103"/>
        <v>0.80778032036613268</v>
      </c>
    </row>
    <row r="367" spans="1:37" x14ac:dyDescent="0.35">
      <c r="A367" s="11" t="s">
        <v>742</v>
      </c>
      <c r="B367" s="12" t="s">
        <v>743</v>
      </c>
      <c r="C367" s="54" t="s">
        <v>1378</v>
      </c>
      <c r="D367" s="54" t="s">
        <v>117</v>
      </c>
      <c r="E367" s="66">
        <f t="shared" si="89"/>
        <v>33</v>
      </c>
      <c r="F367" s="13">
        <f t="shared" si="90"/>
        <v>33</v>
      </c>
      <c r="G367" s="67">
        <f t="shared" si="91"/>
        <v>0</v>
      </c>
      <c r="H367" s="64">
        <f t="shared" si="87"/>
        <v>13</v>
      </c>
      <c r="I367" s="80">
        <v>0</v>
      </c>
      <c r="J367" s="80">
        <v>0</v>
      </c>
      <c r="K367" s="59">
        <f t="shared" si="92"/>
        <v>0</v>
      </c>
      <c r="L367" s="59">
        <v>0</v>
      </c>
      <c r="M367" s="59">
        <v>13</v>
      </c>
      <c r="N367" s="59">
        <f t="shared" si="93"/>
        <v>13</v>
      </c>
      <c r="O367" s="15">
        <f t="shared" si="94"/>
        <v>0</v>
      </c>
      <c r="P367" s="87">
        <f t="shared" si="95"/>
        <v>20</v>
      </c>
      <c r="Q367" s="110">
        <v>0</v>
      </c>
      <c r="R367" s="59">
        <v>20</v>
      </c>
      <c r="S367" s="14">
        <v>0</v>
      </c>
      <c r="T367" s="59">
        <v>0</v>
      </c>
      <c r="U367" s="15">
        <f t="shared" si="88"/>
        <v>0</v>
      </c>
      <c r="V367" s="14">
        <v>0</v>
      </c>
      <c r="W367" s="15">
        <f t="shared" si="96"/>
        <v>0</v>
      </c>
      <c r="X367" s="14">
        <v>0</v>
      </c>
      <c r="Y367" s="75">
        <v>0</v>
      </c>
      <c r="Z367" s="87">
        <f t="shared" si="97"/>
        <v>0</v>
      </c>
      <c r="AA367" s="14">
        <f t="shared" si="98"/>
        <v>0</v>
      </c>
      <c r="AB367" s="75">
        <v>0</v>
      </c>
      <c r="AC367" s="75">
        <v>0</v>
      </c>
      <c r="AD367" s="59">
        <f t="shared" si="99"/>
        <v>0</v>
      </c>
      <c r="AE367" s="73">
        <v>0</v>
      </c>
      <c r="AF367" s="73">
        <v>0</v>
      </c>
      <c r="AG367" s="15">
        <f t="shared" si="100"/>
        <v>0</v>
      </c>
      <c r="AH367" s="16">
        <f t="shared" si="101"/>
        <v>0</v>
      </c>
      <c r="AI367" s="17">
        <f t="shared" si="102"/>
        <v>33</v>
      </c>
      <c r="AJ367" s="12">
        <f>VLOOKUP(A367,'PreK Proxy - Sept. 2024'!$A$2:$I$674,9,FALSE)</f>
        <v>51</v>
      </c>
      <c r="AK367" s="18">
        <f t="shared" si="103"/>
        <v>0.6470588235294118</v>
      </c>
    </row>
    <row r="368" spans="1:37" x14ac:dyDescent="0.35">
      <c r="A368" s="11" t="s">
        <v>744</v>
      </c>
      <c r="B368" s="12" t="s">
        <v>745</v>
      </c>
      <c r="C368" s="54" t="s">
        <v>1421</v>
      </c>
      <c r="D368" s="54" t="s">
        <v>379</v>
      </c>
      <c r="E368" s="66">
        <f t="shared" si="89"/>
        <v>132</v>
      </c>
      <c r="F368" s="13">
        <f t="shared" si="90"/>
        <v>132</v>
      </c>
      <c r="G368" s="67">
        <f t="shared" si="91"/>
        <v>0</v>
      </c>
      <c r="H368" s="64">
        <f t="shared" si="87"/>
        <v>48</v>
      </c>
      <c r="I368" s="80">
        <v>0</v>
      </c>
      <c r="J368" s="80">
        <v>0</v>
      </c>
      <c r="K368" s="59">
        <f t="shared" si="92"/>
        <v>0</v>
      </c>
      <c r="L368" s="59">
        <v>0</v>
      </c>
      <c r="M368" s="59">
        <v>48</v>
      </c>
      <c r="N368" s="59">
        <f t="shared" si="93"/>
        <v>48</v>
      </c>
      <c r="O368" s="15">
        <f t="shared" si="94"/>
        <v>0</v>
      </c>
      <c r="P368" s="87">
        <f t="shared" si="95"/>
        <v>84</v>
      </c>
      <c r="Q368" s="110">
        <v>0</v>
      </c>
      <c r="R368" s="59">
        <v>84</v>
      </c>
      <c r="S368" s="14">
        <v>0</v>
      </c>
      <c r="T368" s="59">
        <v>0</v>
      </c>
      <c r="U368" s="15">
        <f t="shared" si="88"/>
        <v>0</v>
      </c>
      <c r="V368" s="14">
        <v>0</v>
      </c>
      <c r="W368" s="15">
        <f t="shared" si="96"/>
        <v>0</v>
      </c>
      <c r="X368" s="14">
        <v>0</v>
      </c>
      <c r="Y368" s="75">
        <v>0</v>
      </c>
      <c r="Z368" s="87">
        <f t="shared" si="97"/>
        <v>0</v>
      </c>
      <c r="AA368" s="14">
        <f t="shared" si="98"/>
        <v>0</v>
      </c>
      <c r="AB368" s="75">
        <v>0</v>
      </c>
      <c r="AC368" s="75">
        <v>0</v>
      </c>
      <c r="AD368" s="59">
        <f t="shared" si="99"/>
        <v>0</v>
      </c>
      <c r="AE368" s="73">
        <v>0</v>
      </c>
      <c r="AF368" s="73">
        <v>0</v>
      </c>
      <c r="AG368" s="15">
        <f t="shared" si="100"/>
        <v>0</v>
      </c>
      <c r="AH368" s="16">
        <f t="shared" si="101"/>
        <v>0</v>
      </c>
      <c r="AI368" s="17">
        <f t="shared" si="102"/>
        <v>132</v>
      </c>
      <c r="AJ368" s="12">
        <f>VLOOKUP(A368,'PreK Proxy - Sept. 2024'!$A$2:$I$674,9,FALSE)</f>
        <v>201</v>
      </c>
      <c r="AK368" s="18">
        <f t="shared" si="103"/>
        <v>0.65671641791044777</v>
      </c>
    </row>
    <row r="369" spans="1:37" x14ac:dyDescent="0.35">
      <c r="A369" s="11" t="s">
        <v>746</v>
      </c>
      <c r="B369" s="12" t="s">
        <v>747</v>
      </c>
      <c r="C369" s="54" t="s">
        <v>1421</v>
      </c>
      <c r="D369" s="54" t="s">
        <v>379</v>
      </c>
      <c r="E369" s="66">
        <f t="shared" si="89"/>
        <v>36</v>
      </c>
      <c r="F369" s="13">
        <f t="shared" si="90"/>
        <v>20</v>
      </c>
      <c r="G369" s="67">
        <f t="shared" si="91"/>
        <v>16</v>
      </c>
      <c r="H369" s="64">
        <f t="shared" si="87"/>
        <v>36</v>
      </c>
      <c r="I369" s="80">
        <v>0</v>
      </c>
      <c r="J369" s="80">
        <v>16</v>
      </c>
      <c r="K369" s="59">
        <f t="shared" si="92"/>
        <v>16</v>
      </c>
      <c r="L369" s="59">
        <v>0</v>
      </c>
      <c r="M369" s="59">
        <v>20</v>
      </c>
      <c r="N369" s="59">
        <f t="shared" si="93"/>
        <v>20</v>
      </c>
      <c r="O369" s="15">
        <f t="shared" si="94"/>
        <v>0</v>
      </c>
      <c r="P369" s="87">
        <f t="shared" si="95"/>
        <v>0</v>
      </c>
      <c r="Q369" s="110">
        <v>0</v>
      </c>
      <c r="R369" s="59">
        <v>0</v>
      </c>
      <c r="S369" s="14">
        <v>0</v>
      </c>
      <c r="T369" s="59">
        <v>0</v>
      </c>
      <c r="U369" s="15">
        <f t="shared" si="88"/>
        <v>0</v>
      </c>
      <c r="V369" s="14">
        <v>0</v>
      </c>
      <c r="W369" s="15">
        <f t="shared" si="96"/>
        <v>0</v>
      </c>
      <c r="X369" s="14">
        <v>0</v>
      </c>
      <c r="Y369" s="75">
        <v>0</v>
      </c>
      <c r="Z369" s="87">
        <f t="shared" si="97"/>
        <v>0</v>
      </c>
      <c r="AA369" s="14">
        <f t="shared" si="98"/>
        <v>0</v>
      </c>
      <c r="AB369" s="75">
        <v>0</v>
      </c>
      <c r="AC369" s="75">
        <v>0</v>
      </c>
      <c r="AD369" s="59">
        <f t="shared" si="99"/>
        <v>0</v>
      </c>
      <c r="AE369" s="73">
        <v>0</v>
      </c>
      <c r="AF369" s="73">
        <v>0</v>
      </c>
      <c r="AG369" s="15">
        <f t="shared" si="100"/>
        <v>0</v>
      </c>
      <c r="AH369" s="16">
        <f t="shared" si="101"/>
        <v>16</v>
      </c>
      <c r="AI369" s="17">
        <f t="shared" si="102"/>
        <v>20</v>
      </c>
      <c r="AJ369" s="12">
        <f>VLOOKUP(A369,'PreK Proxy - Sept. 2024'!$A$2:$I$674,9,FALSE)</f>
        <v>54</v>
      </c>
      <c r="AK369" s="18">
        <f t="shared" si="103"/>
        <v>0.66666666666666663</v>
      </c>
    </row>
    <row r="370" spans="1:37" x14ac:dyDescent="0.35">
      <c r="A370" s="11" t="s">
        <v>748</v>
      </c>
      <c r="B370" s="12" t="s">
        <v>749</v>
      </c>
      <c r="C370" s="54" t="s">
        <v>1421</v>
      </c>
      <c r="D370" s="54" t="s">
        <v>379</v>
      </c>
      <c r="E370" s="66">
        <f t="shared" si="89"/>
        <v>147</v>
      </c>
      <c r="F370" s="13">
        <f t="shared" si="90"/>
        <v>50</v>
      </c>
      <c r="G370" s="67">
        <f t="shared" si="91"/>
        <v>97</v>
      </c>
      <c r="H370" s="64">
        <f t="shared" si="87"/>
        <v>147</v>
      </c>
      <c r="I370" s="80">
        <v>47</v>
      </c>
      <c r="J370" s="80">
        <v>50</v>
      </c>
      <c r="K370" s="59">
        <f t="shared" si="92"/>
        <v>97</v>
      </c>
      <c r="L370" s="59">
        <v>0</v>
      </c>
      <c r="M370" s="59">
        <v>50</v>
      </c>
      <c r="N370" s="59">
        <f t="shared" si="93"/>
        <v>50</v>
      </c>
      <c r="O370" s="15">
        <f t="shared" si="94"/>
        <v>0</v>
      </c>
      <c r="P370" s="87">
        <f t="shared" si="95"/>
        <v>0</v>
      </c>
      <c r="Q370" s="110">
        <v>0</v>
      </c>
      <c r="R370" s="59">
        <v>0</v>
      </c>
      <c r="S370" s="14">
        <v>0</v>
      </c>
      <c r="T370" s="59">
        <v>0</v>
      </c>
      <c r="U370" s="15">
        <f t="shared" si="88"/>
        <v>0</v>
      </c>
      <c r="V370" s="14">
        <v>0</v>
      </c>
      <c r="W370" s="15">
        <f t="shared" si="96"/>
        <v>0</v>
      </c>
      <c r="X370" s="14">
        <v>0</v>
      </c>
      <c r="Y370" s="75">
        <v>0</v>
      </c>
      <c r="Z370" s="87">
        <f t="shared" si="97"/>
        <v>0</v>
      </c>
      <c r="AA370" s="14">
        <f t="shared" si="98"/>
        <v>0</v>
      </c>
      <c r="AB370" s="75">
        <v>0</v>
      </c>
      <c r="AC370" s="75">
        <v>0</v>
      </c>
      <c r="AD370" s="59">
        <f t="shared" si="99"/>
        <v>0</v>
      </c>
      <c r="AE370" s="73">
        <v>0</v>
      </c>
      <c r="AF370" s="73">
        <v>0</v>
      </c>
      <c r="AG370" s="15">
        <f t="shared" si="100"/>
        <v>0</v>
      </c>
      <c r="AH370" s="16">
        <f t="shared" si="101"/>
        <v>50</v>
      </c>
      <c r="AI370" s="17">
        <f t="shared" si="102"/>
        <v>50</v>
      </c>
      <c r="AJ370" s="12">
        <f>VLOOKUP(A370,'PreK Proxy - Sept. 2024'!$A$2:$I$674,9,FALSE)</f>
        <v>150</v>
      </c>
      <c r="AK370" s="18">
        <f t="shared" si="103"/>
        <v>0.66666666666666663</v>
      </c>
    </row>
    <row r="371" spans="1:37" x14ac:dyDescent="0.35">
      <c r="A371" s="11" t="s">
        <v>750</v>
      </c>
      <c r="B371" s="12" t="s">
        <v>751</v>
      </c>
      <c r="C371" s="54" t="s">
        <v>1421</v>
      </c>
      <c r="D371" s="54" t="s">
        <v>379</v>
      </c>
      <c r="E371" s="66">
        <f t="shared" si="89"/>
        <v>52</v>
      </c>
      <c r="F371" s="13">
        <f t="shared" si="90"/>
        <v>52</v>
      </c>
      <c r="G371" s="67">
        <f t="shared" si="91"/>
        <v>0</v>
      </c>
      <c r="H371" s="64">
        <f t="shared" si="87"/>
        <v>52</v>
      </c>
      <c r="I371" s="80">
        <v>0</v>
      </c>
      <c r="J371" s="80">
        <v>0</v>
      </c>
      <c r="K371" s="59">
        <f t="shared" si="92"/>
        <v>0</v>
      </c>
      <c r="L371" s="59">
        <v>0</v>
      </c>
      <c r="M371" s="59">
        <v>52</v>
      </c>
      <c r="N371" s="59">
        <f t="shared" si="93"/>
        <v>52</v>
      </c>
      <c r="O371" s="15">
        <f t="shared" si="94"/>
        <v>0</v>
      </c>
      <c r="P371" s="87">
        <f t="shared" si="95"/>
        <v>0</v>
      </c>
      <c r="Q371" s="110">
        <v>0</v>
      </c>
      <c r="R371" s="59">
        <v>0</v>
      </c>
      <c r="S371" s="14">
        <v>0</v>
      </c>
      <c r="T371" s="59">
        <v>0</v>
      </c>
      <c r="U371" s="15">
        <f t="shared" si="88"/>
        <v>0</v>
      </c>
      <c r="V371" s="14">
        <v>0</v>
      </c>
      <c r="W371" s="15">
        <f t="shared" si="96"/>
        <v>0</v>
      </c>
      <c r="X371" s="14">
        <v>0</v>
      </c>
      <c r="Y371" s="75">
        <v>0</v>
      </c>
      <c r="Z371" s="87">
        <f t="shared" si="97"/>
        <v>0</v>
      </c>
      <c r="AA371" s="14">
        <f t="shared" si="98"/>
        <v>0</v>
      </c>
      <c r="AB371" s="75">
        <v>0</v>
      </c>
      <c r="AC371" s="75">
        <v>0</v>
      </c>
      <c r="AD371" s="59">
        <f t="shared" si="99"/>
        <v>0</v>
      </c>
      <c r="AE371" s="73">
        <v>0</v>
      </c>
      <c r="AF371" s="73">
        <v>0</v>
      </c>
      <c r="AG371" s="15">
        <f t="shared" si="100"/>
        <v>0</v>
      </c>
      <c r="AH371" s="16">
        <f t="shared" si="101"/>
        <v>0</v>
      </c>
      <c r="AI371" s="17">
        <f t="shared" si="102"/>
        <v>52</v>
      </c>
      <c r="AJ371" s="12">
        <f>VLOOKUP(A371,'PreK Proxy - Sept. 2024'!$A$2:$I$674,9,FALSE)</f>
        <v>45</v>
      </c>
      <c r="AK371" s="18">
        <f t="shared" si="103"/>
        <v>1</v>
      </c>
    </row>
    <row r="372" spans="1:37" x14ac:dyDescent="0.35">
      <c r="A372" s="11" t="s">
        <v>752</v>
      </c>
      <c r="B372" s="12" t="s">
        <v>753</v>
      </c>
      <c r="C372" s="54" t="s">
        <v>1421</v>
      </c>
      <c r="D372" s="54" t="s">
        <v>379</v>
      </c>
      <c r="E372" s="66">
        <f t="shared" si="89"/>
        <v>34</v>
      </c>
      <c r="F372" s="13">
        <f t="shared" si="90"/>
        <v>32</v>
      </c>
      <c r="G372" s="67">
        <f t="shared" si="91"/>
        <v>2</v>
      </c>
      <c r="H372" s="64">
        <f t="shared" si="87"/>
        <v>9</v>
      </c>
      <c r="I372" s="80">
        <v>0</v>
      </c>
      <c r="J372" s="80">
        <v>1</v>
      </c>
      <c r="K372" s="59">
        <f t="shared" si="92"/>
        <v>1</v>
      </c>
      <c r="L372" s="59">
        <v>0</v>
      </c>
      <c r="M372" s="59">
        <v>8</v>
      </c>
      <c r="N372" s="59">
        <f t="shared" si="93"/>
        <v>8</v>
      </c>
      <c r="O372" s="15">
        <f t="shared" si="94"/>
        <v>0</v>
      </c>
      <c r="P372" s="87">
        <f t="shared" si="95"/>
        <v>25</v>
      </c>
      <c r="Q372" s="110">
        <v>1</v>
      </c>
      <c r="R372" s="59">
        <v>24</v>
      </c>
      <c r="S372" s="14">
        <v>0</v>
      </c>
      <c r="T372" s="59">
        <v>0</v>
      </c>
      <c r="U372" s="15">
        <f t="shared" si="88"/>
        <v>0</v>
      </c>
      <c r="V372" s="14">
        <v>0</v>
      </c>
      <c r="W372" s="15">
        <f t="shared" si="96"/>
        <v>0</v>
      </c>
      <c r="X372" s="14">
        <v>0</v>
      </c>
      <c r="Y372" s="75">
        <v>0</v>
      </c>
      <c r="Z372" s="87">
        <f t="shared" si="97"/>
        <v>0</v>
      </c>
      <c r="AA372" s="14">
        <f t="shared" si="98"/>
        <v>0</v>
      </c>
      <c r="AB372" s="75">
        <v>0</v>
      </c>
      <c r="AC372" s="75">
        <v>0</v>
      </c>
      <c r="AD372" s="59">
        <f t="shared" si="99"/>
        <v>0</v>
      </c>
      <c r="AE372" s="73">
        <v>0</v>
      </c>
      <c r="AF372" s="73">
        <v>0</v>
      </c>
      <c r="AG372" s="15">
        <f t="shared" si="100"/>
        <v>0</v>
      </c>
      <c r="AH372" s="16">
        <f t="shared" si="101"/>
        <v>2</v>
      </c>
      <c r="AI372" s="17">
        <f t="shared" si="102"/>
        <v>32</v>
      </c>
      <c r="AJ372" s="12">
        <f>VLOOKUP(A372,'PreK Proxy - Sept. 2024'!$A$2:$I$674,9,FALSE)</f>
        <v>33</v>
      </c>
      <c r="AK372" s="18">
        <f t="shared" si="103"/>
        <v>1</v>
      </c>
    </row>
    <row r="373" spans="1:37" x14ac:dyDescent="0.35">
      <c r="A373" s="11" t="s">
        <v>754</v>
      </c>
      <c r="B373" s="12" t="s">
        <v>755</v>
      </c>
      <c r="C373" s="54" t="s">
        <v>1421</v>
      </c>
      <c r="D373" s="54" t="s">
        <v>379</v>
      </c>
      <c r="E373" s="66">
        <f t="shared" si="89"/>
        <v>13</v>
      </c>
      <c r="F373" s="13">
        <f t="shared" si="90"/>
        <v>0</v>
      </c>
      <c r="G373" s="67">
        <f t="shared" si="91"/>
        <v>13</v>
      </c>
      <c r="H373" s="64">
        <f t="shared" si="87"/>
        <v>13</v>
      </c>
      <c r="I373" s="80">
        <v>0</v>
      </c>
      <c r="J373" s="80">
        <v>13</v>
      </c>
      <c r="K373" s="59">
        <f t="shared" si="92"/>
        <v>13</v>
      </c>
      <c r="L373" s="59">
        <v>0</v>
      </c>
      <c r="M373" s="59">
        <v>0</v>
      </c>
      <c r="N373" s="59">
        <f t="shared" si="93"/>
        <v>0</v>
      </c>
      <c r="O373" s="15">
        <f t="shared" si="94"/>
        <v>0</v>
      </c>
      <c r="P373" s="87">
        <f t="shared" si="95"/>
        <v>0</v>
      </c>
      <c r="Q373" s="110">
        <v>0</v>
      </c>
      <c r="R373" s="59">
        <v>0</v>
      </c>
      <c r="S373" s="14">
        <v>0</v>
      </c>
      <c r="T373" s="59">
        <v>0</v>
      </c>
      <c r="U373" s="15">
        <f t="shared" si="88"/>
        <v>0</v>
      </c>
      <c r="V373" s="14">
        <v>0</v>
      </c>
      <c r="W373" s="15">
        <f t="shared" si="96"/>
        <v>0</v>
      </c>
      <c r="X373" s="14">
        <v>0</v>
      </c>
      <c r="Y373" s="75">
        <v>0</v>
      </c>
      <c r="Z373" s="87">
        <f t="shared" si="97"/>
        <v>0</v>
      </c>
      <c r="AA373" s="14">
        <f t="shared" si="98"/>
        <v>0</v>
      </c>
      <c r="AB373" s="75">
        <v>0</v>
      </c>
      <c r="AC373" s="75">
        <v>0</v>
      </c>
      <c r="AD373" s="59">
        <f t="shared" si="99"/>
        <v>0</v>
      </c>
      <c r="AE373" s="73">
        <v>0</v>
      </c>
      <c r="AF373" s="73">
        <v>0</v>
      </c>
      <c r="AG373" s="15">
        <f t="shared" si="100"/>
        <v>0</v>
      </c>
      <c r="AH373" s="16">
        <f t="shared" si="101"/>
        <v>13</v>
      </c>
      <c r="AI373" s="17">
        <f t="shared" si="102"/>
        <v>0</v>
      </c>
      <c r="AJ373" s="12">
        <f>VLOOKUP(A373,'PreK Proxy - Sept. 2024'!$A$2:$I$674,9,FALSE)</f>
        <v>30</v>
      </c>
      <c r="AK373" s="18">
        <f t="shared" si="103"/>
        <v>0.43333333333333335</v>
      </c>
    </row>
    <row r="374" spans="1:37" x14ac:dyDescent="0.35">
      <c r="A374" s="11" t="s">
        <v>756</v>
      </c>
      <c r="B374" s="12" t="s">
        <v>757</v>
      </c>
      <c r="C374" s="54" t="s">
        <v>1421</v>
      </c>
      <c r="D374" s="54" t="s">
        <v>379</v>
      </c>
      <c r="E374" s="66">
        <f t="shared" si="89"/>
        <v>65</v>
      </c>
      <c r="F374" s="13">
        <f t="shared" si="90"/>
        <v>65</v>
      </c>
      <c r="G374" s="67">
        <f t="shared" si="91"/>
        <v>0</v>
      </c>
      <c r="H374" s="64">
        <f t="shared" si="87"/>
        <v>65</v>
      </c>
      <c r="I374" s="80">
        <v>0</v>
      </c>
      <c r="J374" s="80">
        <v>0</v>
      </c>
      <c r="K374" s="59">
        <f t="shared" si="92"/>
        <v>0</v>
      </c>
      <c r="L374" s="59">
        <v>0</v>
      </c>
      <c r="M374" s="59">
        <v>65</v>
      </c>
      <c r="N374" s="59">
        <f t="shared" si="93"/>
        <v>65</v>
      </c>
      <c r="O374" s="15">
        <f t="shared" si="94"/>
        <v>0</v>
      </c>
      <c r="P374" s="87">
        <f t="shared" si="95"/>
        <v>0</v>
      </c>
      <c r="Q374" s="110">
        <v>0</v>
      </c>
      <c r="R374" s="59">
        <v>0</v>
      </c>
      <c r="S374" s="14">
        <v>0</v>
      </c>
      <c r="T374" s="59">
        <v>0</v>
      </c>
      <c r="U374" s="15">
        <f t="shared" si="88"/>
        <v>0</v>
      </c>
      <c r="V374" s="14">
        <v>0</v>
      </c>
      <c r="W374" s="15">
        <f t="shared" si="96"/>
        <v>0</v>
      </c>
      <c r="X374" s="14">
        <v>0</v>
      </c>
      <c r="Y374" s="75">
        <v>0</v>
      </c>
      <c r="Z374" s="87">
        <f t="shared" si="97"/>
        <v>0</v>
      </c>
      <c r="AA374" s="14">
        <f t="shared" si="98"/>
        <v>0</v>
      </c>
      <c r="AB374" s="75">
        <v>0</v>
      </c>
      <c r="AC374" s="75">
        <v>0</v>
      </c>
      <c r="AD374" s="59">
        <f t="shared" si="99"/>
        <v>0</v>
      </c>
      <c r="AE374" s="73">
        <v>0</v>
      </c>
      <c r="AF374" s="73">
        <v>0</v>
      </c>
      <c r="AG374" s="15">
        <f t="shared" si="100"/>
        <v>0</v>
      </c>
      <c r="AH374" s="16">
        <f t="shared" si="101"/>
        <v>0</v>
      </c>
      <c r="AI374" s="17">
        <f t="shared" si="102"/>
        <v>65</v>
      </c>
      <c r="AJ374" s="12">
        <f>VLOOKUP(A374,'PreK Proxy - Sept. 2024'!$A$2:$I$674,9,FALSE)</f>
        <v>84</v>
      </c>
      <c r="AK374" s="18">
        <f t="shared" si="103"/>
        <v>0.77380952380952384</v>
      </c>
    </row>
    <row r="375" spans="1:37" x14ac:dyDescent="0.35">
      <c r="A375" s="11" t="s">
        <v>758</v>
      </c>
      <c r="B375" s="12" t="s">
        <v>759</v>
      </c>
      <c r="C375" s="54" t="s">
        <v>1421</v>
      </c>
      <c r="D375" s="54" t="s">
        <v>379</v>
      </c>
      <c r="E375" s="66">
        <f t="shared" si="89"/>
        <v>32</v>
      </c>
      <c r="F375" s="13">
        <f t="shared" si="90"/>
        <v>0</v>
      </c>
      <c r="G375" s="67">
        <f t="shared" si="91"/>
        <v>32</v>
      </c>
      <c r="H375" s="64">
        <f t="shared" si="87"/>
        <v>32</v>
      </c>
      <c r="I375" s="80">
        <v>0</v>
      </c>
      <c r="J375" s="80">
        <v>32</v>
      </c>
      <c r="K375" s="59">
        <f t="shared" si="92"/>
        <v>32</v>
      </c>
      <c r="L375" s="59">
        <v>0</v>
      </c>
      <c r="M375" s="59">
        <v>0</v>
      </c>
      <c r="N375" s="59">
        <f t="shared" si="93"/>
        <v>0</v>
      </c>
      <c r="O375" s="15">
        <f t="shared" si="94"/>
        <v>0</v>
      </c>
      <c r="P375" s="87">
        <f t="shared" si="95"/>
        <v>0</v>
      </c>
      <c r="Q375" s="110">
        <v>0</v>
      </c>
      <c r="R375" s="59">
        <v>0</v>
      </c>
      <c r="S375" s="14">
        <v>0</v>
      </c>
      <c r="T375" s="59">
        <v>0</v>
      </c>
      <c r="U375" s="15">
        <f t="shared" si="88"/>
        <v>0</v>
      </c>
      <c r="V375" s="14">
        <v>0</v>
      </c>
      <c r="W375" s="15">
        <f t="shared" si="96"/>
        <v>0</v>
      </c>
      <c r="X375" s="14">
        <v>0</v>
      </c>
      <c r="Y375" s="75">
        <v>0</v>
      </c>
      <c r="Z375" s="87">
        <f t="shared" si="97"/>
        <v>0</v>
      </c>
      <c r="AA375" s="14">
        <f t="shared" si="98"/>
        <v>0</v>
      </c>
      <c r="AB375" s="75">
        <v>0</v>
      </c>
      <c r="AC375" s="75">
        <v>0</v>
      </c>
      <c r="AD375" s="59">
        <f t="shared" si="99"/>
        <v>0</v>
      </c>
      <c r="AE375" s="73">
        <v>0</v>
      </c>
      <c r="AF375" s="73">
        <v>0</v>
      </c>
      <c r="AG375" s="15">
        <f t="shared" si="100"/>
        <v>0</v>
      </c>
      <c r="AH375" s="16">
        <f t="shared" si="101"/>
        <v>32</v>
      </c>
      <c r="AI375" s="17">
        <f t="shared" si="102"/>
        <v>0</v>
      </c>
      <c r="AJ375" s="12">
        <f>VLOOKUP(A375,'PreK Proxy - Sept. 2024'!$A$2:$I$674,9,FALSE)</f>
        <v>32</v>
      </c>
      <c r="AK375" s="18">
        <f t="shared" si="103"/>
        <v>1</v>
      </c>
    </row>
    <row r="376" spans="1:37" x14ac:dyDescent="0.35">
      <c r="A376" s="11" t="s">
        <v>760</v>
      </c>
      <c r="B376" s="12" t="s">
        <v>761</v>
      </c>
      <c r="C376" s="54" t="s">
        <v>1421</v>
      </c>
      <c r="D376" s="54" t="s">
        <v>379</v>
      </c>
      <c r="E376" s="66">
        <f t="shared" si="89"/>
        <v>183</v>
      </c>
      <c r="F376" s="13">
        <f t="shared" si="90"/>
        <v>113</v>
      </c>
      <c r="G376" s="67">
        <f t="shared" si="91"/>
        <v>70</v>
      </c>
      <c r="H376" s="64">
        <f t="shared" si="87"/>
        <v>105</v>
      </c>
      <c r="I376" s="80">
        <v>0</v>
      </c>
      <c r="J376" s="80">
        <v>70</v>
      </c>
      <c r="K376" s="59">
        <f t="shared" si="92"/>
        <v>70</v>
      </c>
      <c r="L376" s="59">
        <v>0</v>
      </c>
      <c r="M376" s="59">
        <v>35</v>
      </c>
      <c r="N376" s="59">
        <f t="shared" si="93"/>
        <v>35</v>
      </c>
      <c r="O376" s="15">
        <f t="shared" si="94"/>
        <v>0</v>
      </c>
      <c r="P376" s="87">
        <f t="shared" si="95"/>
        <v>0</v>
      </c>
      <c r="Q376" s="110">
        <v>0</v>
      </c>
      <c r="R376" s="59">
        <v>0</v>
      </c>
      <c r="S376" s="14">
        <v>39</v>
      </c>
      <c r="T376" s="59">
        <v>0</v>
      </c>
      <c r="U376" s="15">
        <f t="shared" si="88"/>
        <v>39</v>
      </c>
      <c r="V376" s="14">
        <v>39</v>
      </c>
      <c r="W376" s="15">
        <f t="shared" si="96"/>
        <v>39</v>
      </c>
      <c r="X376" s="14">
        <v>0</v>
      </c>
      <c r="Y376" s="75">
        <v>0</v>
      </c>
      <c r="Z376" s="87">
        <f t="shared" si="97"/>
        <v>0</v>
      </c>
      <c r="AA376" s="14">
        <f t="shared" si="98"/>
        <v>0</v>
      </c>
      <c r="AB376" s="75">
        <v>0</v>
      </c>
      <c r="AC376" s="75">
        <v>0</v>
      </c>
      <c r="AD376" s="59">
        <f t="shared" si="99"/>
        <v>0</v>
      </c>
      <c r="AE376" s="73">
        <v>0</v>
      </c>
      <c r="AF376" s="73">
        <v>0</v>
      </c>
      <c r="AG376" s="15">
        <f t="shared" si="100"/>
        <v>0</v>
      </c>
      <c r="AH376" s="16">
        <f t="shared" si="101"/>
        <v>70</v>
      </c>
      <c r="AI376" s="17">
        <f t="shared" si="102"/>
        <v>113</v>
      </c>
      <c r="AJ376" s="12">
        <f>VLOOKUP(A376,'PreK Proxy - Sept. 2024'!$A$2:$I$674,9,FALSE)</f>
        <v>240</v>
      </c>
      <c r="AK376" s="18">
        <f t="shared" si="103"/>
        <v>0.76249999999999996</v>
      </c>
    </row>
    <row r="377" spans="1:37" x14ac:dyDescent="0.35">
      <c r="A377" s="11" t="s">
        <v>762</v>
      </c>
      <c r="B377" s="12" t="s">
        <v>763</v>
      </c>
      <c r="C377" s="54" t="s">
        <v>1423</v>
      </c>
      <c r="D377" s="54" t="s">
        <v>251</v>
      </c>
      <c r="E377" s="66">
        <f t="shared" si="89"/>
        <v>124</v>
      </c>
      <c r="F377" s="13">
        <f t="shared" si="90"/>
        <v>64</v>
      </c>
      <c r="G377" s="67">
        <f t="shared" si="91"/>
        <v>60</v>
      </c>
      <c r="H377" s="64">
        <f t="shared" si="87"/>
        <v>124</v>
      </c>
      <c r="I377" s="80">
        <v>0</v>
      </c>
      <c r="J377" s="80">
        <v>60</v>
      </c>
      <c r="K377" s="59">
        <f t="shared" si="92"/>
        <v>60</v>
      </c>
      <c r="L377" s="59">
        <v>0</v>
      </c>
      <c r="M377" s="59">
        <v>64</v>
      </c>
      <c r="N377" s="59">
        <f t="shared" si="93"/>
        <v>64</v>
      </c>
      <c r="O377" s="15">
        <f t="shared" si="94"/>
        <v>0</v>
      </c>
      <c r="P377" s="87">
        <f t="shared" si="95"/>
        <v>0</v>
      </c>
      <c r="Q377" s="110">
        <v>0</v>
      </c>
      <c r="R377" s="59">
        <v>0</v>
      </c>
      <c r="S377" s="14">
        <v>0</v>
      </c>
      <c r="T377" s="59">
        <v>0</v>
      </c>
      <c r="U377" s="15">
        <f t="shared" si="88"/>
        <v>0</v>
      </c>
      <c r="V377" s="14">
        <v>0</v>
      </c>
      <c r="W377" s="15">
        <f t="shared" si="96"/>
        <v>0</v>
      </c>
      <c r="X377" s="14">
        <v>0</v>
      </c>
      <c r="Y377" s="75">
        <v>0</v>
      </c>
      <c r="Z377" s="87">
        <f t="shared" si="97"/>
        <v>0</v>
      </c>
      <c r="AA377" s="14">
        <f t="shared" si="98"/>
        <v>0</v>
      </c>
      <c r="AB377" s="75">
        <v>0</v>
      </c>
      <c r="AC377" s="75">
        <v>0</v>
      </c>
      <c r="AD377" s="59">
        <f t="shared" si="99"/>
        <v>0</v>
      </c>
      <c r="AE377" s="73">
        <v>0</v>
      </c>
      <c r="AF377" s="73">
        <v>0</v>
      </c>
      <c r="AG377" s="15">
        <f t="shared" si="100"/>
        <v>0</v>
      </c>
      <c r="AH377" s="16">
        <f t="shared" si="101"/>
        <v>60</v>
      </c>
      <c r="AI377" s="17">
        <f t="shared" si="102"/>
        <v>64</v>
      </c>
      <c r="AJ377" s="12">
        <f>VLOOKUP(A377,'PreK Proxy - Sept. 2024'!$A$2:$I$674,9,FALSE)</f>
        <v>193</v>
      </c>
      <c r="AK377" s="18">
        <f t="shared" si="103"/>
        <v>0.6424870466321243</v>
      </c>
    </row>
    <row r="378" spans="1:37" x14ac:dyDescent="0.35">
      <c r="A378" s="11" t="s">
        <v>764</v>
      </c>
      <c r="B378" s="12" t="s">
        <v>765</v>
      </c>
      <c r="C378" s="54" t="s">
        <v>1423</v>
      </c>
      <c r="D378" s="54" t="s">
        <v>251</v>
      </c>
      <c r="E378" s="66">
        <f t="shared" si="89"/>
        <v>20</v>
      </c>
      <c r="F378" s="13">
        <f t="shared" si="90"/>
        <v>20</v>
      </c>
      <c r="G378" s="67">
        <f t="shared" si="91"/>
        <v>0</v>
      </c>
      <c r="H378" s="64">
        <f t="shared" si="87"/>
        <v>0</v>
      </c>
      <c r="I378" s="80">
        <v>0</v>
      </c>
      <c r="J378" s="80">
        <v>0</v>
      </c>
      <c r="K378" s="59">
        <f t="shared" si="92"/>
        <v>0</v>
      </c>
      <c r="L378" s="59">
        <v>0</v>
      </c>
      <c r="M378" s="59">
        <v>0</v>
      </c>
      <c r="N378" s="59">
        <f t="shared" si="93"/>
        <v>0</v>
      </c>
      <c r="O378" s="15">
        <f t="shared" si="94"/>
        <v>0</v>
      </c>
      <c r="P378" s="87">
        <f t="shared" si="95"/>
        <v>20</v>
      </c>
      <c r="Q378" s="110">
        <v>0</v>
      </c>
      <c r="R378" s="59">
        <v>20</v>
      </c>
      <c r="S378" s="14">
        <v>0</v>
      </c>
      <c r="T378" s="59">
        <v>0</v>
      </c>
      <c r="U378" s="15">
        <f t="shared" si="88"/>
        <v>0</v>
      </c>
      <c r="V378" s="14">
        <v>0</v>
      </c>
      <c r="W378" s="15">
        <f t="shared" si="96"/>
        <v>0</v>
      </c>
      <c r="X378" s="14">
        <v>0</v>
      </c>
      <c r="Y378" s="75">
        <v>0</v>
      </c>
      <c r="Z378" s="87">
        <f t="shared" si="97"/>
        <v>0</v>
      </c>
      <c r="AA378" s="14">
        <f t="shared" si="98"/>
        <v>0</v>
      </c>
      <c r="AB378" s="75">
        <v>0</v>
      </c>
      <c r="AC378" s="75">
        <v>0</v>
      </c>
      <c r="AD378" s="59">
        <f t="shared" si="99"/>
        <v>0</v>
      </c>
      <c r="AE378" s="73">
        <v>0</v>
      </c>
      <c r="AF378" s="73">
        <v>0</v>
      </c>
      <c r="AG378" s="15">
        <f t="shared" si="100"/>
        <v>0</v>
      </c>
      <c r="AH378" s="16">
        <f t="shared" si="101"/>
        <v>0</v>
      </c>
      <c r="AI378" s="17">
        <f t="shared" si="102"/>
        <v>20</v>
      </c>
      <c r="AJ378" s="12">
        <f>VLOOKUP(A378,'PreK Proxy - Sept. 2024'!$A$2:$I$674,9,FALSE)</f>
        <v>52</v>
      </c>
      <c r="AK378" s="18">
        <f t="shared" si="103"/>
        <v>0.38461538461538464</v>
      </c>
    </row>
    <row r="379" spans="1:37" x14ac:dyDescent="0.35">
      <c r="A379" s="11" t="s">
        <v>766</v>
      </c>
      <c r="B379" s="12" t="s">
        <v>767</v>
      </c>
      <c r="C379" s="54" t="s">
        <v>1423</v>
      </c>
      <c r="D379" s="54" t="s">
        <v>251</v>
      </c>
      <c r="E379" s="66">
        <f t="shared" si="89"/>
        <v>80</v>
      </c>
      <c r="F379" s="13">
        <f t="shared" si="90"/>
        <v>80</v>
      </c>
      <c r="G379" s="67">
        <f t="shared" si="91"/>
        <v>0</v>
      </c>
      <c r="H379" s="64">
        <f t="shared" si="87"/>
        <v>20</v>
      </c>
      <c r="I379" s="80">
        <v>0</v>
      </c>
      <c r="J379" s="80">
        <v>0</v>
      </c>
      <c r="K379" s="59">
        <f t="shared" si="92"/>
        <v>0</v>
      </c>
      <c r="L379" s="59">
        <v>0</v>
      </c>
      <c r="M379" s="59">
        <v>20</v>
      </c>
      <c r="N379" s="59">
        <f t="shared" si="93"/>
        <v>20</v>
      </c>
      <c r="O379" s="15">
        <f t="shared" si="94"/>
        <v>0</v>
      </c>
      <c r="P379" s="87">
        <f t="shared" si="95"/>
        <v>60</v>
      </c>
      <c r="Q379" s="110">
        <v>0</v>
      </c>
      <c r="R379" s="59">
        <v>60</v>
      </c>
      <c r="S379" s="14">
        <v>0</v>
      </c>
      <c r="T379" s="59">
        <v>0</v>
      </c>
      <c r="U379" s="15">
        <f t="shared" si="88"/>
        <v>0</v>
      </c>
      <c r="V379" s="14">
        <v>0</v>
      </c>
      <c r="W379" s="15">
        <f t="shared" si="96"/>
        <v>0</v>
      </c>
      <c r="X379" s="14">
        <v>0</v>
      </c>
      <c r="Y379" s="75">
        <v>0</v>
      </c>
      <c r="Z379" s="87">
        <f t="shared" si="97"/>
        <v>0</v>
      </c>
      <c r="AA379" s="14">
        <f t="shared" si="98"/>
        <v>0</v>
      </c>
      <c r="AB379" s="75">
        <v>0</v>
      </c>
      <c r="AC379" s="75">
        <v>0</v>
      </c>
      <c r="AD379" s="59">
        <f t="shared" si="99"/>
        <v>0</v>
      </c>
      <c r="AE379" s="73">
        <v>0</v>
      </c>
      <c r="AF379" s="73">
        <v>0</v>
      </c>
      <c r="AG379" s="15">
        <f t="shared" si="100"/>
        <v>0</v>
      </c>
      <c r="AH379" s="16">
        <f t="shared" si="101"/>
        <v>0</v>
      </c>
      <c r="AI379" s="17">
        <f t="shared" si="102"/>
        <v>80</v>
      </c>
      <c r="AJ379" s="12">
        <f>VLOOKUP(A379,'PreK Proxy - Sept. 2024'!$A$2:$I$674,9,FALSE)</f>
        <v>151</v>
      </c>
      <c r="AK379" s="18">
        <f t="shared" si="103"/>
        <v>0.5298013245033113</v>
      </c>
    </row>
    <row r="380" spans="1:37" x14ac:dyDescent="0.35">
      <c r="A380" s="11" t="s">
        <v>768</v>
      </c>
      <c r="B380" s="12" t="s">
        <v>769</v>
      </c>
      <c r="C380" s="54" t="s">
        <v>1423</v>
      </c>
      <c r="D380" s="54" t="s">
        <v>251</v>
      </c>
      <c r="E380" s="66">
        <f t="shared" si="89"/>
        <v>185</v>
      </c>
      <c r="F380" s="13">
        <f t="shared" si="90"/>
        <v>185</v>
      </c>
      <c r="G380" s="67">
        <f t="shared" si="91"/>
        <v>0</v>
      </c>
      <c r="H380" s="64">
        <f t="shared" si="87"/>
        <v>118</v>
      </c>
      <c r="I380" s="80">
        <v>0</v>
      </c>
      <c r="J380" s="80">
        <v>0</v>
      </c>
      <c r="K380" s="59">
        <f t="shared" si="92"/>
        <v>0</v>
      </c>
      <c r="L380" s="59">
        <v>0</v>
      </c>
      <c r="M380" s="59">
        <v>118</v>
      </c>
      <c r="N380" s="59">
        <f t="shared" si="93"/>
        <v>118</v>
      </c>
      <c r="O380" s="15">
        <f t="shared" si="94"/>
        <v>0</v>
      </c>
      <c r="P380" s="87">
        <f t="shared" si="95"/>
        <v>67</v>
      </c>
      <c r="Q380" s="110">
        <v>0</v>
      </c>
      <c r="R380" s="59">
        <v>67</v>
      </c>
      <c r="S380" s="14">
        <v>0</v>
      </c>
      <c r="T380" s="59">
        <v>0</v>
      </c>
      <c r="U380" s="15">
        <f t="shared" si="88"/>
        <v>0</v>
      </c>
      <c r="V380" s="14">
        <v>0</v>
      </c>
      <c r="W380" s="15">
        <f t="shared" si="96"/>
        <v>0</v>
      </c>
      <c r="X380" s="14">
        <v>0</v>
      </c>
      <c r="Y380" s="75">
        <v>0</v>
      </c>
      <c r="Z380" s="87">
        <f t="shared" si="97"/>
        <v>0</v>
      </c>
      <c r="AA380" s="14">
        <f t="shared" si="98"/>
        <v>0</v>
      </c>
      <c r="AB380" s="75">
        <v>0</v>
      </c>
      <c r="AC380" s="75">
        <v>0</v>
      </c>
      <c r="AD380" s="59">
        <f t="shared" si="99"/>
        <v>0</v>
      </c>
      <c r="AE380" s="73">
        <v>0</v>
      </c>
      <c r="AF380" s="73">
        <v>0</v>
      </c>
      <c r="AG380" s="15">
        <f t="shared" si="100"/>
        <v>0</v>
      </c>
      <c r="AH380" s="16">
        <f t="shared" si="101"/>
        <v>0</v>
      </c>
      <c r="AI380" s="17">
        <f t="shared" si="102"/>
        <v>185</v>
      </c>
      <c r="AJ380" s="12">
        <f>VLOOKUP(A380,'PreK Proxy - Sept. 2024'!$A$2:$I$674,9,FALSE)</f>
        <v>388</v>
      </c>
      <c r="AK380" s="18">
        <f t="shared" si="103"/>
        <v>0.47680412371134023</v>
      </c>
    </row>
    <row r="381" spans="1:37" x14ac:dyDescent="0.35">
      <c r="A381" s="11" t="s">
        <v>770</v>
      </c>
      <c r="B381" s="12" t="s">
        <v>771</v>
      </c>
      <c r="C381" s="54" t="s">
        <v>1423</v>
      </c>
      <c r="D381" s="54" t="s">
        <v>251</v>
      </c>
      <c r="E381" s="66">
        <f t="shared" si="89"/>
        <v>54</v>
      </c>
      <c r="F381" s="13">
        <f t="shared" si="90"/>
        <v>54</v>
      </c>
      <c r="G381" s="67">
        <f t="shared" si="91"/>
        <v>0</v>
      </c>
      <c r="H381" s="64">
        <f t="shared" si="87"/>
        <v>0</v>
      </c>
      <c r="I381" s="80">
        <v>0</v>
      </c>
      <c r="J381" s="80">
        <v>0</v>
      </c>
      <c r="K381" s="59">
        <f t="shared" si="92"/>
        <v>0</v>
      </c>
      <c r="L381" s="59">
        <v>0</v>
      </c>
      <c r="M381" s="59">
        <v>0</v>
      </c>
      <c r="N381" s="59">
        <f t="shared" si="93"/>
        <v>0</v>
      </c>
      <c r="O381" s="15">
        <f t="shared" si="94"/>
        <v>0</v>
      </c>
      <c r="P381" s="87">
        <f t="shared" si="95"/>
        <v>54</v>
      </c>
      <c r="Q381" s="110">
        <v>0</v>
      </c>
      <c r="R381" s="59">
        <v>54</v>
      </c>
      <c r="S381" s="14">
        <v>0</v>
      </c>
      <c r="T381" s="59">
        <v>0</v>
      </c>
      <c r="U381" s="15">
        <f t="shared" si="88"/>
        <v>0</v>
      </c>
      <c r="V381" s="14">
        <v>0</v>
      </c>
      <c r="W381" s="15">
        <f t="shared" si="96"/>
        <v>0</v>
      </c>
      <c r="X381" s="14">
        <v>0</v>
      </c>
      <c r="Y381" s="75">
        <v>0</v>
      </c>
      <c r="Z381" s="87">
        <f t="shared" si="97"/>
        <v>0</v>
      </c>
      <c r="AA381" s="14">
        <f t="shared" si="98"/>
        <v>0</v>
      </c>
      <c r="AB381" s="75">
        <v>0</v>
      </c>
      <c r="AC381" s="75">
        <v>0</v>
      </c>
      <c r="AD381" s="59">
        <f t="shared" si="99"/>
        <v>0</v>
      </c>
      <c r="AE381" s="73">
        <v>0</v>
      </c>
      <c r="AF381" s="73">
        <v>0</v>
      </c>
      <c r="AG381" s="15">
        <f t="shared" si="100"/>
        <v>0</v>
      </c>
      <c r="AH381" s="16">
        <f t="shared" si="101"/>
        <v>0</v>
      </c>
      <c r="AI381" s="17">
        <f t="shared" si="102"/>
        <v>54</v>
      </c>
      <c r="AJ381" s="12">
        <f>VLOOKUP(A381,'PreK Proxy - Sept. 2024'!$A$2:$I$674,9,FALSE)</f>
        <v>153</v>
      </c>
      <c r="AK381" s="18">
        <f t="shared" si="103"/>
        <v>0.35294117647058826</v>
      </c>
    </row>
    <row r="382" spans="1:37" x14ac:dyDescent="0.35">
      <c r="A382" s="11" t="s">
        <v>772</v>
      </c>
      <c r="B382" s="12" t="s">
        <v>773</v>
      </c>
      <c r="C382" s="54" t="s">
        <v>1423</v>
      </c>
      <c r="D382" s="54" t="s">
        <v>251</v>
      </c>
      <c r="E382" s="66">
        <f t="shared" si="89"/>
        <v>40</v>
      </c>
      <c r="F382" s="13">
        <f t="shared" si="90"/>
        <v>40</v>
      </c>
      <c r="G382" s="67">
        <f t="shared" si="91"/>
        <v>0</v>
      </c>
      <c r="H382" s="64">
        <f t="shared" si="87"/>
        <v>20</v>
      </c>
      <c r="I382" s="80">
        <v>0</v>
      </c>
      <c r="J382" s="80">
        <v>0</v>
      </c>
      <c r="K382" s="59">
        <f t="shared" si="92"/>
        <v>0</v>
      </c>
      <c r="L382" s="59">
        <v>0</v>
      </c>
      <c r="M382" s="59">
        <v>20</v>
      </c>
      <c r="N382" s="59">
        <f t="shared" si="93"/>
        <v>20</v>
      </c>
      <c r="O382" s="15">
        <f t="shared" si="94"/>
        <v>0</v>
      </c>
      <c r="P382" s="87">
        <f t="shared" si="95"/>
        <v>20</v>
      </c>
      <c r="Q382" s="110">
        <v>0</v>
      </c>
      <c r="R382" s="59">
        <v>20</v>
      </c>
      <c r="S382" s="14">
        <v>0</v>
      </c>
      <c r="T382" s="59">
        <v>0</v>
      </c>
      <c r="U382" s="15">
        <f t="shared" si="88"/>
        <v>0</v>
      </c>
      <c r="V382" s="14">
        <v>0</v>
      </c>
      <c r="W382" s="15">
        <f t="shared" si="96"/>
        <v>0</v>
      </c>
      <c r="X382" s="14">
        <v>0</v>
      </c>
      <c r="Y382" s="75">
        <v>0</v>
      </c>
      <c r="Z382" s="87">
        <f t="shared" si="97"/>
        <v>0</v>
      </c>
      <c r="AA382" s="14">
        <f t="shared" si="98"/>
        <v>0</v>
      </c>
      <c r="AB382" s="75">
        <v>0</v>
      </c>
      <c r="AC382" s="75">
        <v>0</v>
      </c>
      <c r="AD382" s="59">
        <f t="shared" si="99"/>
        <v>0</v>
      </c>
      <c r="AE382" s="73">
        <v>0</v>
      </c>
      <c r="AF382" s="73">
        <v>0</v>
      </c>
      <c r="AG382" s="15">
        <f t="shared" si="100"/>
        <v>0</v>
      </c>
      <c r="AH382" s="16">
        <f t="shared" si="101"/>
        <v>0</v>
      </c>
      <c r="AI382" s="17">
        <f t="shared" si="102"/>
        <v>40</v>
      </c>
      <c r="AJ382" s="12">
        <f>VLOOKUP(A382,'PreK Proxy - Sept. 2024'!$A$2:$I$674,9,FALSE)</f>
        <v>39</v>
      </c>
      <c r="AK382" s="18">
        <f t="shared" si="103"/>
        <v>1</v>
      </c>
    </row>
    <row r="383" spans="1:37" x14ac:dyDescent="0.35">
      <c r="A383" s="11" t="s">
        <v>774</v>
      </c>
      <c r="B383" s="12" t="s">
        <v>775</v>
      </c>
      <c r="C383" s="54" t="s">
        <v>1423</v>
      </c>
      <c r="D383" s="54" t="s">
        <v>251</v>
      </c>
      <c r="E383" s="66">
        <f t="shared" si="89"/>
        <v>263</v>
      </c>
      <c r="F383" s="13">
        <f t="shared" si="90"/>
        <v>188</v>
      </c>
      <c r="G383" s="67">
        <f t="shared" si="91"/>
        <v>75</v>
      </c>
      <c r="H383" s="64">
        <f t="shared" si="87"/>
        <v>263</v>
      </c>
      <c r="I383" s="80">
        <v>0</v>
      </c>
      <c r="J383" s="80">
        <v>75</v>
      </c>
      <c r="K383" s="59">
        <f t="shared" si="92"/>
        <v>75</v>
      </c>
      <c r="L383" s="59">
        <v>0</v>
      </c>
      <c r="M383" s="59">
        <v>188</v>
      </c>
      <c r="N383" s="59">
        <f t="shared" si="93"/>
        <v>188</v>
      </c>
      <c r="O383" s="15">
        <f t="shared" si="94"/>
        <v>0</v>
      </c>
      <c r="P383" s="87">
        <f t="shared" si="95"/>
        <v>0</v>
      </c>
      <c r="Q383" s="110">
        <v>0</v>
      </c>
      <c r="R383" s="59">
        <v>0</v>
      </c>
      <c r="S383" s="14">
        <v>0</v>
      </c>
      <c r="T383" s="59">
        <v>0</v>
      </c>
      <c r="U383" s="15">
        <f t="shared" si="88"/>
        <v>0</v>
      </c>
      <c r="V383" s="14">
        <v>0</v>
      </c>
      <c r="W383" s="15">
        <f t="shared" si="96"/>
        <v>0</v>
      </c>
      <c r="X383" s="14">
        <v>0</v>
      </c>
      <c r="Y383" s="75">
        <v>0</v>
      </c>
      <c r="Z383" s="87">
        <f t="shared" si="97"/>
        <v>0</v>
      </c>
      <c r="AA383" s="14">
        <f t="shared" si="98"/>
        <v>0</v>
      </c>
      <c r="AB383" s="75">
        <v>0</v>
      </c>
      <c r="AC383" s="75">
        <v>0</v>
      </c>
      <c r="AD383" s="59">
        <f t="shared" si="99"/>
        <v>0</v>
      </c>
      <c r="AE383" s="73">
        <v>0</v>
      </c>
      <c r="AF383" s="73">
        <v>0</v>
      </c>
      <c r="AG383" s="15">
        <f t="shared" si="100"/>
        <v>0</v>
      </c>
      <c r="AH383" s="16">
        <f t="shared" si="101"/>
        <v>75</v>
      </c>
      <c r="AI383" s="17">
        <f t="shared" si="102"/>
        <v>188</v>
      </c>
      <c r="AJ383" s="12">
        <f>VLOOKUP(A383,'PreK Proxy - Sept. 2024'!$A$2:$I$674,9,FALSE)</f>
        <v>425</v>
      </c>
      <c r="AK383" s="18">
        <f t="shared" si="103"/>
        <v>0.61882352941176466</v>
      </c>
    </row>
    <row r="384" spans="1:37" x14ac:dyDescent="0.35">
      <c r="A384" s="11" t="s">
        <v>776</v>
      </c>
      <c r="B384" s="12" t="s">
        <v>777</v>
      </c>
      <c r="C384" s="54" t="s">
        <v>1423</v>
      </c>
      <c r="D384" s="54" t="s">
        <v>251</v>
      </c>
      <c r="E384" s="66">
        <f t="shared" si="89"/>
        <v>140</v>
      </c>
      <c r="F384" s="13">
        <f t="shared" si="90"/>
        <v>112</v>
      </c>
      <c r="G384" s="67">
        <f t="shared" si="91"/>
        <v>28</v>
      </c>
      <c r="H384" s="64">
        <f t="shared" si="87"/>
        <v>140</v>
      </c>
      <c r="I384" s="80">
        <v>0</v>
      </c>
      <c r="J384" s="80">
        <v>28</v>
      </c>
      <c r="K384" s="59">
        <f t="shared" si="92"/>
        <v>28</v>
      </c>
      <c r="L384" s="59">
        <v>0</v>
      </c>
      <c r="M384" s="59">
        <v>112</v>
      </c>
      <c r="N384" s="59">
        <f t="shared" si="93"/>
        <v>112</v>
      </c>
      <c r="O384" s="15">
        <f t="shared" si="94"/>
        <v>0</v>
      </c>
      <c r="P384" s="87">
        <f t="shared" si="95"/>
        <v>0</v>
      </c>
      <c r="Q384" s="110">
        <v>0</v>
      </c>
      <c r="R384" s="59">
        <v>0</v>
      </c>
      <c r="S384" s="14">
        <v>0</v>
      </c>
      <c r="T384" s="59">
        <v>0</v>
      </c>
      <c r="U384" s="15">
        <f t="shared" si="88"/>
        <v>0</v>
      </c>
      <c r="V384" s="14">
        <v>0</v>
      </c>
      <c r="W384" s="15">
        <f t="shared" si="96"/>
        <v>0</v>
      </c>
      <c r="X384" s="14">
        <v>0</v>
      </c>
      <c r="Y384" s="75">
        <v>0</v>
      </c>
      <c r="Z384" s="87">
        <f t="shared" si="97"/>
        <v>0</v>
      </c>
      <c r="AA384" s="14">
        <f t="shared" si="98"/>
        <v>0</v>
      </c>
      <c r="AB384" s="75">
        <v>0</v>
      </c>
      <c r="AC384" s="75">
        <v>0</v>
      </c>
      <c r="AD384" s="59">
        <f t="shared" si="99"/>
        <v>0</v>
      </c>
      <c r="AE384" s="73">
        <v>0</v>
      </c>
      <c r="AF384" s="73">
        <v>0</v>
      </c>
      <c r="AG384" s="15">
        <f t="shared" si="100"/>
        <v>0</v>
      </c>
      <c r="AH384" s="16">
        <f t="shared" si="101"/>
        <v>28</v>
      </c>
      <c r="AI384" s="17">
        <f t="shared" si="102"/>
        <v>112</v>
      </c>
      <c r="AJ384" s="12">
        <f>VLOOKUP(A384,'PreK Proxy - Sept. 2024'!$A$2:$I$674,9,FALSE)</f>
        <v>237</v>
      </c>
      <c r="AK384" s="18">
        <f t="shared" si="103"/>
        <v>0.59071729957805907</v>
      </c>
    </row>
    <row r="385" spans="1:37" x14ac:dyDescent="0.35">
      <c r="A385" s="11" t="s">
        <v>778</v>
      </c>
      <c r="B385" s="12" t="s">
        <v>779</v>
      </c>
      <c r="C385" s="54" t="s">
        <v>1423</v>
      </c>
      <c r="D385" s="54" t="s">
        <v>251</v>
      </c>
      <c r="E385" s="66">
        <f t="shared" si="89"/>
        <v>107</v>
      </c>
      <c r="F385" s="13">
        <f t="shared" si="90"/>
        <v>107</v>
      </c>
      <c r="G385" s="67">
        <f t="shared" si="91"/>
        <v>0</v>
      </c>
      <c r="H385" s="64">
        <f t="shared" si="87"/>
        <v>0</v>
      </c>
      <c r="I385" s="80">
        <v>0</v>
      </c>
      <c r="J385" s="80">
        <v>0</v>
      </c>
      <c r="K385" s="59">
        <f t="shared" si="92"/>
        <v>0</v>
      </c>
      <c r="L385" s="59">
        <v>0</v>
      </c>
      <c r="M385" s="59">
        <v>0</v>
      </c>
      <c r="N385" s="59">
        <f t="shared" si="93"/>
        <v>0</v>
      </c>
      <c r="O385" s="15">
        <f t="shared" si="94"/>
        <v>0</v>
      </c>
      <c r="P385" s="87">
        <f t="shared" si="95"/>
        <v>107</v>
      </c>
      <c r="Q385" s="110">
        <v>0</v>
      </c>
      <c r="R385" s="59">
        <v>107</v>
      </c>
      <c r="S385" s="14">
        <v>0</v>
      </c>
      <c r="T385" s="59">
        <v>0</v>
      </c>
      <c r="U385" s="15">
        <f t="shared" si="88"/>
        <v>0</v>
      </c>
      <c r="V385" s="14">
        <v>0</v>
      </c>
      <c r="W385" s="15">
        <f t="shared" si="96"/>
        <v>0</v>
      </c>
      <c r="X385" s="14">
        <v>0</v>
      </c>
      <c r="Y385" s="75">
        <v>0</v>
      </c>
      <c r="Z385" s="87">
        <f t="shared" si="97"/>
        <v>0</v>
      </c>
      <c r="AA385" s="14">
        <f t="shared" si="98"/>
        <v>0</v>
      </c>
      <c r="AB385" s="75">
        <v>0</v>
      </c>
      <c r="AC385" s="75">
        <v>0</v>
      </c>
      <c r="AD385" s="59">
        <f t="shared" si="99"/>
        <v>0</v>
      </c>
      <c r="AE385" s="73">
        <v>0</v>
      </c>
      <c r="AF385" s="73">
        <v>0</v>
      </c>
      <c r="AG385" s="15">
        <f t="shared" si="100"/>
        <v>0</v>
      </c>
      <c r="AH385" s="16">
        <f t="shared" si="101"/>
        <v>0</v>
      </c>
      <c r="AI385" s="17">
        <f t="shared" si="102"/>
        <v>107</v>
      </c>
      <c r="AJ385" s="12">
        <f>VLOOKUP(A385,'PreK Proxy - Sept. 2024'!$A$2:$I$674,9,FALSE)</f>
        <v>928</v>
      </c>
      <c r="AK385" s="18">
        <f t="shared" si="103"/>
        <v>0.11530172413793104</v>
      </c>
    </row>
    <row r="386" spans="1:37" x14ac:dyDescent="0.35">
      <c r="A386" s="11" t="s">
        <v>780</v>
      </c>
      <c r="B386" s="12" t="s">
        <v>781</v>
      </c>
      <c r="C386" s="54" t="s">
        <v>1423</v>
      </c>
      <c r="D386" s="54" t="s">
        <v>251</v>
      </c>
      <c r="E386" s="66">
        <f t="shared" si="89"/>
        <v>389</v>
      </c>
      <c r="F386" s="13">
        <f t="shared" si="90"/>
        <v>172</v>
      </c>
      <c r="G386" s="67">
        <f t="shared" si="91"/>
        <v>217</v>
      </c>
      <c r="H386" s="64">
        <f t="shared" si="87"/>
        <v>389</v>
      </c>
      <c r="I386" s="80">
        <v>0</v>
      </c>
      <c r="J386" s="80">
        <v>217</v>
      </c>
      <c r="K386" s="59">
        <f t="shared" si="92"/>
        <v>217</v>
      </c>
      <c r="L386" s="59">
        <v>0</v>
      </c>
      <c r="M386" s="59">
        <v>172</v>
      </c>
      <c r="N386" s="59">
        <f t="shared" si="93"/>
        <v>172</v>
      </c>
      <c r="O386" s="15">
        <f t="shared" si="94"/>
        <v>0</v>
      </c>
      <c r="P386" s="87">
        <f t="shared" si="95"/>
        <v>0</v>
      </c>
      <c r="Q386" s="110">
        <v>0</v>
      </c>
      <c r="R386" s="59">
        <v>0</v>
      </c>
      <c r="S386" s="14">
        <v>0</v>
      </c>
      <c r="T386" s="59">
        <v>0</v>
      </c>
      <c r="U386" s="15">
        <f t="shared" si="88"/>
        <v>0</v>
      </c>
      <c r="V386" s="14">
        <v>0</v>
      </c>
      <c r="W386" s="15">
        <f t="shared" si="96"/>
        <v>0</v>
      </c>
      <c r="X386" s="14">
        <v>0</v>
      </c>
      <c r="Y386" s="75">
        <v>0</v>
      </c>
      <c r="Z386" s="87">
        <f t="shared" si="97"/>
        <v>0</v>
      </c>
      <c r="AA386" s="14">
        <f t="shared" si="98"/>
        <v>0</v>
      </c>
      <c r="AB386" s="75">
        <v>0</v>
      </c>
      <c r="AC386" s="75">
        <v>0</v>
      </c>
      <c r="AD386" s="59">
        <f t="shared" si="99"/>
        <v>0</v>
      </c>
      <c r="AE386" s="73">
        <v>0</v>
      </c>
      <c r="AF386" s="73">
        <v>0</v>
      </c>
      <c r="AG386" s="15">
        <f t="shared" si="100"/>
        <v>0</v>
      </c>
      <c r="AH386" s="16">
        <f t="shared" si="101"/>
        <v>217</v>
      </c>
      <c r="AI386" s="17">
        <f t="shared" si="102"/>
        <v>172</v>
      </c>
      <c r="AJ386" s="12">
        <f>VLOOKUP(A386,'PreK Proxy - Sept. 2024'!$A$2:$I$674,9,FALSE)</f>
        <v>910</v>
      </c>
      <c r="AK386" s="18">
        <f t="shared" si="103"/>
        <v>0.42747252747252745</v>
      </c>
    </row>
    <row r="387" spans="1:37" x14ac:dyDescent="0.35">
      <c r="A387" s="11" t="s">
        <v>782</v>
      </c>
      <c r="B387" s="12" t="s">
        <v>783</v>
      </c>
      <c r="C387" s="54" t="s">
        <v>1423</v>
      </c>
      <c r="D387" s="54" t="s">
        <v>251</v>
      </c>
      <c r="E387" s="66">
        <f t="shared" si="89"/>
        <v>196</v>
      </c>
      <c r="F387" s="13">
        <f t="shared" si="90"/>
        <v>170</v>
      </c>
      <c r="G387" s="67">
        <f t="shared" si="91"/>
        <v>26</v>
      </c>
      <c r="H387" s="64">
        <f t="shared" ref="H387:H450" si="104">K387+N387</f>
        <v>106</v>
      </c>
      <c r="I387" s="80">
        <v>0</v>
      </c>
      <c r="J387" s="80">
        <v>26</v>
      </c>
      <c r="K387" s="59">
        <f t="shared" si="92"/>
        <v>26</v>
      </c>
      <c r="L387" s="59">
        <v>0</v>
      </c>
      <c r="M387" s="59">
        <v>80</v>
      </c>
      <c r="N387" s="59">
        <f t="shared" si="93"/>
        <v>80</v>
      </c>
      <c r="O387" s="15">
        <f t="shared" si="94"/>
        <v>54</v>
      </c>
      <c r="P387" s="87">
        <f t="shared" si="95"/>
        <v>0</v>
      </c>
      <c r="Q387" s="110">
        <v>0</v>
      </c>
      <c r="R387" s="59">
        <v>0</v>
      </c>
      <c r="S387" s="14">
        <v>50</v>
      </c>
      <c r="T387" s="59">
        <v>54</v>
      </c>
      <c r="U387" s="15">
        <f t="shared" si="88"/>
        <v>104</v>
      </c>
      <c r="V387" s="14">
        <v>40</v>
      </c>
      <c r="W387" s="15">
        <f t="shared" si="96"/>
        <v>40</v>
      </c>
      <c r="X387" s="14">
        <v>0</v>
      </c>
      <c r="Y387" s="75">
        <v>0</v>
      </c>
      <c r="Z387" s="87">
        <f t="shared" si="97"/>
        <v>0</v>
      </c>
      <c r="AA387" s="14">
        <f t="shared" si="98"/>
        <v>0</v>
      </c>
      <c r="AB387" s="75">
        <v>0</v>
      </c>
      <c r="AC387" s="75">
        <v>0</v>
      </c>
      <c r="AD387" s="59">
        <f t="shared" si="99"/>
        <v>0</v>
      </c>
      <c r="AE387" s="73">
        <v>0</v>
      </c>
      <c r="AF387" s="73">
        <v>0</v>
      </c>
      <c r="AG387" s="15">
        <f t="shared" si="100"/>
        <v>0</v>
      </c>
      <c r="AH387" s="16">
        <f t="shared" si="101"/>
        <v>26</v>
      </c>
      <c r="AI387" s="17">
        <f t="shared" si="102"/>
        <v>170</v>
      </c>
      <c r="AJ387" s="12">
        <f>VLOOKUP(A387,'PreK Proxy - Sept. 2024'!$A$2:$I$674,9,FALSE)</f>
        <v>246</v>
      </c>
      <c r="AK387" s="18">
        <f t="shared" si="103"/>
        <v>0.7967479674796748</v>
      </c>
    </row>
    <row r="388" spans="1:37" x14ac:dyDescent="0.35">
      <c r="A388" s="11" t="s">
        <v>784</v>
      </c>
      <c r="B388" s="12" t="s">
        <v>785</v>
      </c>
      <c r="C388" s="54" t="s">
        <v>1423</v>
      </c>
      <c r="D388" s="54" t="s">
        <v>251</v>
      </c>
      <c r="E388" s="66">
        <f t="shared" si="89"/>
        <v>560</v>
      </c>
      <c r="F388" s="13">
        <f t="shared" si="90"/>
        <v>515</v>
      </c>
      <c r="G388" s="67">
        <f t="shared" si="91"/>
        <v>45</v>
      </c>
      <c r="H388" s="64">
        <f t="shared" si="104"/>
        <v>326</v>
      </c>
      <c r="I388" s="80">
        <v>0</v>
      </c>
      <c r="J388" s="80">
        <v>45</v>
      </c>
      <c r="K388" s="59">
        <f t="shared" si="92"/>
        <v>45</v>
      </c>
      <c r="L388" s="59">
        <v>0</v>
      </c>
      <c r="M388" s="59">
        <v>281</v>
      </c>
      <c r="N388" s="59">
        <f t="shared" si="93"/>
        <v>281</v>
      </c>
      <c r="O388" s="15">
        <f t="shared" si="94"/>
        <v>0</v>
      </c>
      <c r="P388" s="87">
        <f t="shared" si="95"/>
        <v>0</v>
      </c>
      <c r="Q388" s="110">
        <v>0</v>
      </c>
      <c r="R388" s="59">
        <v>0</v>
      </c>
      <c r="S388" s="14">
        <v>234</v>
      </c>
      <c r="T388" s="59">
        <v>0</v>
      </c>
      <c r="U388" s="15">
        <f t="shared" ref="U388:U451" si="105">S388+T388</f>
        <v>234</v>
      </c>
      <c r="V388" s="14">
        <v>0</v>
      </c>
      <c r="W388" s="15">
        <f t="shared" si="96"/>
        <v>0</v>
      </c>
      <c r="X388" s="14">
        <v>0</v>
      </c>
      <c r="Y388" s="75">
        <v>0</v>
      </c>
      <c r="Z388" s="87">
        <f t="shared" si="97"/>
        <v>0</v>
      </c>
      <c r="AA388" s="14">
        <f t="shared" si="98"/>
        <v>0</v>
      </c>
      <c r="AB388" s="75">
        <v>0</v>
      </c>
      <c r="AC388" s="75">
        <v>0</v>
      </c>
      <c r="AD388" s="59">
        <f t="shared" si="99"/>
        <v>0</v>
      </c>
      <c r="AE388" s="73">
        <v>0</v>
      </c>
      <c r="AF388" s="73">
        <v>0</v>
      </c>
      <c r="AG388" s="15">
        <f t="shared" si="100"/>
        <v>0</v>
      </c>
      <c r="AH388" s="16">
        <f t="shared" si="101"/>
        <v>45</v>
      </c>
      <c r="AI388" s="17">
        <f t="shared" si="102"/>
        <v>515</v>
      </c>
      <c r="AJ388" s="12">
        <f>VLOOKUP(A388,'PreK Proxy - Sept. 2024'!$A$2:$I$674,9,FALSE)</f>
        <v>623</v>
      </c>
      <c r="AK388" s="18">
        <f t="shared" si="103"/>
        <v>0.898876404494382</v>
      </c>
    </row>
    <row r="389" spans="1:37" x14ac:dyDescent="0.35">
      <c r="A389" s="11" t="s">
        <v>786</v>
      </c>
      <c r="B389" s="12" t="s">
        <v>787</v>
      </c>
      <c r="C389" s="54" t="s">
        <v>1423</v>
      </c>
      <c r="D389" s="54" t="s">
        <v>251</v>
      </c>
      <c r="E389" s="66">
        <f t="shared" ref="E389:E452" si="106">F389+G389</f>
        <v>73</v>
      </c>
      <c r="F389" s="13">
        <f t="shared" ref="F389:F452" si="107">N389+R389+S389+V389+X389+AG389</f>
        <v>73</v>
      </c>
      <c r="G389" s="67">
        <f t="shared" ref="G389:G452" si="108">K389+Q389+AD389</f>
        <v>0</v>
      </c>
      <c r="H389" s="64">
        <f t="shared" si="104"/>
        <v>68</v>
      </c>
      <c r="I389" s="80">
        <v>0</v>
      </c>
      <c r="J389" s="80">
        <v>0</v>
      </c>
      <c r="K389" s="59">
        <f t="shared" ref="K389:K452" si="109">I389+J389</f>
        <v>0</v>
      </c>
      <c r="L389" s="59">
        <v>0</v>
      </c>
      <c r="M389" s="59">
        <v>68</v>
      </c>
      <c r="N389" s="59">
        <f t="shared" ref="N389:N452" si="110">L389+M389</f>
        <v>68</v>
      </c>
      <c r="O389" s="15">
        <f t="shared" ref="O389:O452" si="111">T389+Y389</f>
        <v>0</v>
      </c>
      <c r="P389" s="87">
        <f t="shared" ref="P389:P452" si="112">Q389+R389</f>
        <v>0</v>
      </c>
      <c r="Q389" s="110">
        <v>0</v>
      </c>
      <c r="R389" s="59">
        <v>0</v>
      </c>
      <c r="S389" s="14">
        <v>5</v>
      </c>
      <c r="T389" s="59">
        <v>0</v>
      </c>
      <c r="U389" s="15">
        <f t="shared" si="105"/>
        <v>5</v>
      </c>
      <c r="V389" s="14">
        <v>0</v>
      </c>
      <c r="W389" s="15">
        <f t="shared" ref="W389:W452" si="113">V389</f>
        <v>0</v>
      </c>
      <c r="X389" s="14">
        <v>0</v>
      </c>
      <c r="Y389" s="75">
        <v>0</v>
      </c>
      <c r="Z389" s="87">
        <f t="shared" ref="Z389:Z452" si="114">X389+Y389</f>
        <v>0</v>
      </c>
      <c r="AA389" s="14">
        <f t="shared" ref="AA389:AA452" si="115">AD389+AG389</f>
        <v>0</v>
      </c>
      <c r="AB389" s="75">
        <v>0</v>
      </c>
      <c r="AC389" s="75">
        <v>0</v>
      </c>
      <c r="AD389" s="59">
        <f t="shared" ref="AD389:AD452" si="116">AB389+AC389</f>
        <v>0</v>
      </c>
      <c r="AE389" s="73">
        <v>0</v>
      </c>
      <c r="AF389" s="73">
        <v>0</v>
      </c>
      <c r="AG389" s="15">
        <f t="shared" ref="AG389:AG452" si="117">AE389+AF389</f>
        <v>0</v>
      </c>
      <c r="AH389" s="16">
        <f t="shared" ref="AH389:AH452" si="118">J389+Q389+AC389</f>
        <v>0</v>
      </c>
      <c r="AI389" s="17">
        <f t="shared" ref="AI389:AI452" si="119">M389+R389+S389+V389+X389+AF389</f>
        <v>73</v>
      </c>
      <c r="AJ389" s="12">
        <f>VLOOKUP(A389,'PreK Proxy - Sept. 2024'!$A$2:$I$674,9,FALSE)</f>
        <v>90</v>
      </c>
      <c r="AK389" s="18">
        <f t="shared" ref="AK389:AK452" si="120">IFERROR(MIN(100%,((AI389+AH389)/AJ389)),0)</f>
        <v>0.81111111111111112</v>
      </c>
    </row>
    <row r="390" spans="1:37" x14ac:dyDescent="0.35">
      <c r="A390" s="11" t="s">
        <v>788</v>
      </c>
      <c r="B390" s="12" t="s">
        <v>789</v>
      </c>
      <c r="C390" s="54" t="s">
        <v>1423</v>
      </c>
      <c r="D390" s="54" t="s">
        <v>251</v>
      </c>
      <c r="E390" s="66">
        <f t="shared" si="106"/>
        <v>11</v>
      </c>
      <c r="F390" s="13">
        <f t="shared" si="107"/>
        <v>11</v>
      </c>
      <c r="G390" s="67">
        <f t="shared" si="108"/>
        <v>0</v>
      </c>
      <c r="H390" s="64">
        <f t="shared" si="104"/>
        <v>11</v>
      </c>
      <c r="I390" s="80">
        <v>0</v>
      </c>
      <c r="J390" s="80">
        <v>0</v>
      </c>
      <c r="K390" s="59">
        <f t="shared" si="109"/>
        <v>0</v>
      </c>
      <c r="L390" s="59">
        <v>0</v>
      </c>
      <c r="M390" s="59">
        <v>11</v>
      </c>
      <c r="N390" s="59">
        <f t="shared" si="110"/>
        <v>11</v>
      </c>
      <c r="O390" s="15">
        <f t="shared" si="111"/>
        <v>0</v>
      </c>
      <c r="P390" s="87">
        <f t="shared" si="112"/>
        <v>0</v>
      </c>
      <c r="Q390" s="110">
        <v>0</v>
      </c>
      <c r="R390" s="59">
        <v>0</v>
      </c>
      <c r="S390" s="14">
        <v>0</v>
      </c>
      <c r="T390" s="59">
        <v>0</v>
      </c>
      <c r="U390" s="15">
        <f t="shared" si="105"/>
        <v>0</v>
      </c>
      <c r="V390" s="14">
        <v>0</v>
      </c>
      <c r="W390" s="15">
        <f t="shared" si="113"/>
        <v>0</v>
      </c>
      <c r="X390" s="14">
        <v>0</v>
      </c>
      <c r="Y390" s="75">
        <v>0</v>
      </c>
      <c r="Z390" s="87">
        <f t="shared" si="114"/>
        <v>0</v>
      </c>
      <c r="AA390" s="14">
        <f t="shared" si="115"/>
        <v>0</v>
      </c>
      <c r="AB390" s="75">
        <v>0</v>
      </c>
      <c r="AC390" s="75">
        <v>0</v>
      </c>
      <c r="AD390" s="59">
        <f t="shared" si="116"/>
        <v>0</v>
      </c>
      <c r="AE390" s="73">
        <v>0</v>
      </c>
      <c r="AF390" s="73">
        <v>0</v>
      </c>
      <c r="AG390" s="15">
        <f t="shared" si="117"/>
        <v>0</v>
      </c>
      <c r="AH390" s="16">
        <f t="shared" si="118"/>
        <v>0</v>
      </c>
      <c r="AI390" s="17">
        <f t="shared" si="119"/>
        <v>11</v>
      </c>
      <c r="AJ390" s="12">
        <f>VLOOKUP(A390,'PreK Proxy - Sept. 2024'!$A$2:$I$674,9,FALSE)</f>
        <v>17</v>
      </c>
      <c r="AK390" s="18">
        <f t="shared" si="120"/>
        <v>0.6470588235294118</v>
      </c>
    </row>
    <row r="391" spans="1:37" x14ac:dyDescent="0.35">
      <c r="A391" s="11" t="s">
        <v>790</v>
      </c>
      <c r="B391" s="12" t="s">
        <v>791</v>
      </c>
      <c r="C391" s="54" t="s">
        <v>1423</v>
      </c>
      <c r="D391" s="54" t="s">
        <v>251</v>
      </c>
      <c r="E391" s="66">
        <f t="shared" si="106"/>
        <v>124</v>
      </c>
      <c r="F391" s="13">
        <f t="shared" si="107"/>
        <v>124</v>
      </c>
      <c r="G391" s="67">
        <f t="shared" si="108"/>
        <v>0</v>
      </c>
      <c r="H391" s="64">
        <f t="shared" si="104"/>
        <v>47</v>
      </c>
      <c r="I391" s="80">
        <v>0</v>
      </c>
      <c r="J391" s="80">
        <v>0</v>
      </c>
      <c r="K391" s="59">
        <f t="shared" si="109"/>
        <v>0</v>
      </c>
      <c r="L391" s="59">
        <v>0</v>
      </c>
      <c r="M391" s="59">
        <v>47</v>
      </c>
      <c r="N391" s="59">
        <f t="shared" si="110"/>
        <v>47</v>
      </c>
      <c r="O391" s="15">
        <f t="shared" si="111"/>
        <v>0</v>
      </c>
      <c r="P391" s="87">
        <f t="shared" si="112"/>
        <v>77</v>
      </c>
      <c r="Q391" s="110">
        <v>0</v>
      </c>
      <c r="R391" s="59">
        <v>77</v>
      </c>
      <c r="S391" s="14">
        <v>0</v>
      </c>
      <c r="T391" s="59">
        <v>0</v>
      </c>
      <c r="U391" s="15">
        <f t="shared" si="105"/>
        <v>0</v>
      </c>
      <c r="V391" s="14">
        <v>0</v>
      </c>
      <c r="W391" s="15">
        <f t="shared" si="113"/>
        <v>0</v>
      </c>
      <c r="X391" s="14">
        <v>0</v>
      </c>
      <c r="Y391" s="75">
        <v>0</v>
      </c>
      <c r="Z391" s="87">
        <f t="shared" si="114"/>
        <v>0</v>
      </c>
      <c r="AA391" s="14">
        <f t="shared" si="115"/>
        <v>0</v>
      </c>
      <c r="AB391" s="75">
        <v>0</v>
      </c>
      <c r="AC391" s="75">
        <v>0</v>
      </c>
      <c r="AD391" s="59">
        <f t="shared" si="116"/>
        <v>0</v>
      </c>
      <c r="AE391" s="73">
        <v>0</v>
      </c>
      <c r="AF391" s="73">
        <v>0</v>
      </c>
      <c r="AG391" s="15">
        <f t="shared" si="117"/>
        <v>0</v>
      </c>
      <c r="AH391" s="16">
        <f t="shared" si="118"/>
        <v>0</v>
      </c>
      <c r="AI391" s="17">
        <f t="shared" si="119"/>
        <v>124</v>
      </c>
      <c r="AJ391" s="12">
        <f>VLOOKUP(A391,'PreK Proxy - Sept. 2024'!$A$2:$I$674,9,FALSE)</f>
        <v>208</v>
      </c>
      <c r="AK391" s="18">
        <f t="shared" si="120"/>
        <v>0.59615384615384615</v>
      </c>
    </row>
    <row r="392" spans="1:37" x14ac:dyDescent="0.35">
      <c r="A392" s="11" t="s">
        <v>792</v>
      </c>
      <c r="B392" s="12" t="s">
        <v>793</v>
      </c>
      <c r="C392" s="54" t="s">
        <v>1423</v>
      </c>
      <c r="D392" s="54" t="s">
        <v>251</v>
      </c>
      <c r="E392" s="66">
        <f t="shared" si="106"/>
        <v>20</v>
      </c>
      <c r="F392" s="13">
        <f t="shared" si="107"/>
        <v>20</v>
      </c>
      <c r="G392" s="67">
        <f t="shared" si="108"/>
        <v>0</v>
      </c>
      <c r="H392" s="64">
        <f t="shared" si="104"/>
        <v>0</v>
      </c>
      <c r="I392" s="80">
        <v>0</v>
      </c>
      <c r="J392" s="80">
        <v>0</v>
      </c>
      <c r="K392" s="59">
        <f t="shared" si="109"/>
        <v>0</v>
      </c>
      <c r="L392" s="59">
        <v>0</v>
      </c>
      <c r="M392" s="59">
        <v>0</v>
      </c>
      <c r="N392" s="59">
        <f t="shared" si="110"/>
        <v>0</v>
      </c>
      <c r="O392" s="15">
        <f t="shared" si="111"/>
        <v>0</v>
      </c>
      <c r="P392" s="87">
        <f t="shared" si="112"/>
        <v>20</v>
      </c>
      <c r="Q392" s="110">
        <v>0</v>
      </c>
      <c r="R392" s="59">
        <v>20</v>
      </c>
      <c r="S392" s="14">
        <v>0</v>
      </c>
      <c r="T392" s="59">
        <v>0</v>
      </c>
      <c r="U392" s="15">
        <f t="shared" si="105"/>
        <v>0</v>
      </c>
      <c r="V392" s="14">
        <v>0</v>
      </c>
      <c r="W392" s="15">
        <f t="shared" si="113"/>
        <v>0</v>
      </c>
      <c r="X392" s="14">
        <v>0</v>
      </c>
      <c r="Y392" s="75">
        <v>0</v>
      </c>
      <c r="Z392" s="87">
        <f t="shared" si="114"/>
        <v>0</v>
      </c>
      <c r="AA392" s="14">
        <f t="shared" si="115"/>
        <v>0</v>
      </c>
      <c r="AB392" s="75">
        <v>0</v>
      </c>
      <c r="AC392" s="75">
        <v>0</v>
      </c>
      <c r="AD392" s="59">
        <f t="shared" si="116"/>
        <v>0</v>
      </c>
      <c r="AE392" s="73">
        <v>0</v>
      </c>
      <c r="AF392" s="73">
        <v>0</v>
      </c>
      <c r="AG392" s="15">
        <f t="shared" si="117"/>
        <v>0</v>
      </c>
      <c r="AH392" s="16">
        <f t="shared" si="118"/>
        <v>0</v>
      </c>
      <c r="AI392" s="17">
        <f t="shared" si="119"/>
        <v>20</v>
      </c>
      <c r="AJ392" s="12">
        <f>VLOOKUP(A392,'PreK Proxy - Sept. 2024'!$A$2:$I$674,9,FALSE)</f>
        <v>40</v>
      </c>
      <c r="AK392" s="18">
        <f t="shared" si="120"/>
        <v>0.5</v>
      </c>
    </row>
    <row r="393" spans="1:37" x14ac:dyDescent="0.35">
      <c r="A393" s="11" t="s">
        <v>794</v>
      </c>
      <c r="B393" s="12" t="s">
        <v>795</v>
      </c>
      <c r="C393" s="54" t="s">
        <v>1423</v>
      </c>
      <c r="D393" s="54" t="s">
        <v>251</v>
      </c>
      <c r="E393" s="66">
        <f t="shared" si="106"/>
        <v>26</v>
      </c>
      <c r="F393" s="13">
        <f t="shared" si="107"/>
        <v>26</v>
      </c>
      <c r="G393" s="67">
        <f t="shared" si="108"/>
        <v>0</v>
      </c>
      <c r="H393" s="64">
        <f t="shared" si="104"/>
        <v>8</v>
      </c>
      <c r="I393" s="80">
        <v>0</v>
      </c>
      <c r="J393" s="80">
        <v>0</v>
      </c>
      <c r="K393" s="59">
        <f t="shared" si="109"/>
        <v>0</v>
      </c>
      <c r="L393" s="59">
        <v>0</v>
      </c>
      <c r="M393" s="59">
        <v>8</v>
      </c>
      <c r="N393" s="59">
        <f t="shared" si="110"/>
        <v>8</v>
      </c>
      <c r="O393" s="15">
        <f t="shared" si="111"/>
        <v>0</v>
      </c>
      <c r="P393" s="87">
        <f t="shared" si="112"/>
        <v>0</v>
      </c>
      <c r="Q393" s="110">
        <v>0</v>
      </c>
      <c r="R393" s="59">
        <v>0</v>
      </c>
      <c r="S393" s="14">
        <v>18</v>
      </c>
      <c r="T393" s="59">
        <v>0</v>
      </c>
      <c r="U393" s="15">
        <f t="shared" si="105"/>
        <v>18</v>
      </c>
      <c r="V393" s="14">
        <v>0</v>
      </c>
      <c r="W393" s="15">
        <f t="shared" si="113"/>
        <v>0</v>
      </c>
      <c r="X393" s="14">
        <v>0</v>
      </c>
      <c r="Y393" s="75">
        <v>0</v>
      </c>
      <c r="Z393" s="87">
        <f t="shared" si="114"/>
        <v>0</v>
      </c>
      <c r="AA393" s="14">
        <f t="shared" si="115"/>
        <v>0</v>
      </c>
      <c r="AB393" s="75">
        <v>0</v>
      </c>
      <c r="AC393" s="75">
        <v>0</v>
      </c>
      <c r="AD393" s="59">
        <f t="shared" si="116"/>
        <v>0</v>
      </c>
      <c r="AE393" s="73">
        <v>0</v>
      </c>
      <c r="AF393" s="73">
        <v>0</v>
      </c>
      <c r="AG393" s="15">
        <f t="shared" si="117"/>
        <v>0</v>
      </c>
      <c r="AH393" s="16">
        <f t="shared" si="118"/>
        <v>0</v>
      </c>
      <c r="AI393" s="17">
        <f t="shared" si="119"/>
        <v>26</v>
      </c>
      <c r="AJ393" s="12">
        <f>VLOOKUP(A393,'PreK Proxy - Sept. 2024'!$A$2:$I$674,9,FALSE)</f>
        <v>31</v>
      </c>
      <c r="AK393" s="18">
        <f t="shared" si="120"/>
        <v>0.83870967741935487</v>
      </c>
    </row>
    <row r="394" spans="1:37" x14ac:dyDescent="0.35">
      <c r="A394" s="11" t="s">
        <v>796</v>
      </c>
      <c r="B394" s="12" t="s">
        <v>797</v>
      </c>
      <c r="C394" s="54" t="s">
        <v>1453</v>
      </c>
      <c r="D394" s="54" t="s">
        <v>379</v>
      </c>
      <c r="E394" s="66">
        <f t="shared" si="106"/>
        <v>88</v>
      </c>
      <c r="F394" s="13">
        <f t="shared" si="107"/>
        <v>12</v>
      </c>
      <c r="G394" s="67">
        <f t="shared" si="108"/>
        <v>76</v>
      </c>
      <c r="H394" s="64">
        <f t="shared" si="104"/>
        <v>88</v>
      </c>
      <c r="I394" s="80">
        <v>0</v>
      </c>
      <c r="J394" s="80">
        <v>76</v>
      </c>
      <c r="K394" s="59">
        <f t="shared" si="109"/>
        <v>76</v>
      </c>
      <c r="L394" s="59">
        <v>0</v>
      </c>
      <c r="M394" s="59">
        <v>12</v>
      </c>
      <c r="N394" s="59">
        <f t="shared" si="110"/>
        <v>12</v>
      </c>
      <c r="O394" s="15">
        <f t="shared" si="111"/>
        <v>0</v>
      </c>
      <c r="P394" s="87">
        <f t="shared" si="112"/>
        <v>0</v>
      </c>
      <c r="Q394" s="110">
        <v>0</v>
      </c>
      <c r="R394" s="59">
        <v>0</v>
      </c>
      <c r="S394" s="14">
        <v>0</v>
      </c>
      <c r="T394" s="59">
        <v>0</v>
      </c>
      <c r="U394" s="15">
        <f t="shared" si="105"/>
        <v>0</v>
      </c>
      <c r="V394" s="14">
        <v>0</v>
      </c>
      <c r="W394" s="15">
        <f t="shared" si="113"/>
        <v>0</v>
      </c>
      <c r="X394" s="14">
        <v>0</v>
      </c>
      <c r="Y394" s="75">
        <v>0</v>
      </c>
      <c r="Z394" s="87">
        <f t="shared" si="114"/>
        <v>0</v>
      </c>
      <c r="AA394" s="14">
        <f t="shared" si="115"/>
        <v>0</v>
      </c>
      <c r="AB394" s="75">
        <v>0</v>
      </c>
      <c r="AC394" s="75">
        <v>0</v>
      </c>
      <c r="AD394" s="59">
        <f t="shared" si="116"/>
        <v>0</v>
      </c>
      <c r="AE394" s="73">
        <v>0</v>
      </c>
      <c r="AF394" s="73">
        <v>0</v>
      </c>
      <c r="AG394" s="15">
        <f t="shared" si="117"/>
        <v>0</v>
      </c>
      <c r="AH394" s="16">
        <f t="shared" si="118"/>
        <v>76</v>
      </c>
      <c r="AI394" s="17">
        <f t="shared" si="119"/>
        <v>12</v>
      </c>
      <c r="AJ394" s="12">
        <f>VLOOKUP(A394,'PreK Proxy - Sept. 2024'!$A$2:$I$674,9,FALSE)</f>
        <v>91</v>
      </c>
      <c r="AK394" s="18">
        <f t="shared" si="120"/>
        <v>0.96703296703296704</v>
      </c>
    </row>
    <row r="395" spans="1:37" x14ac:dyDescent="0.35">
      <c r="A395" s="11" t="s">
        <v>798</v>
      </c>
      <c r="B395" s="12" t="s">
        <v>799</v>
      </c>
      <c r="C395" s="54" t="s">
        <v>1453</v>
      </c>
      <c r="D395" s="54" t="s">
        <v>379</v>
      </c>
      <c r="E395" s="66">
        <f t="shared" si="106"/>
        <v>48</v>
      </c>
      <c r="F395" s="13">
        <f t="shared" si="107"/>
        <v>0</v>
      </c>
      <c r="G395" s="67">
        <f t="shared" si="108"/>
        <v>48</v>
      </c>
      <c r="H395" s="64">
        <f t="shared" si="104"/>
        <v>48</v>
      </c>
      <c r="I395" s="80">
        <v>0</v>
      </c>
      <c r="J395" s="80">
        <v>48</v>
      </c>
      <c r="K395" s="59">
        <f t="shared" si="109"/>
        <v>48</v>
      </c>
      <c r="L395" s="59">
        <v>0</v>
      </c>
      <c r="M395" s="59">
        <v>0</v>
      </c>
      <c r="N395" s="59">
        <f t="shared" si="110"/>
        <v>0</v>
      </c>
      <c r="O395" s="15">
        <f t="shared" si="111"/>
        <v>0</v>
      </c>
      <c r="P395" s="87">
        <f t="shared" si="112"/>
        <v>0</v>
      </c>
      <c r="Q395" s="110">
        <v>0</v>
      </c>
      <c r="R395" s="59">
        <v>0</v>
      </c>
      <c r="S395" s="14">
        <v>0</v>
      </c>
      <c r="T395" s="59">
        <v>0</v>
      </c>
      <c r="U395" s="15">
        <f t="shared" si="105"/>
        <v>0</v>
      </c>
      <c r="V395" s="14">
        <v>0</v>
      </c>
      <c r="W395" s="15">
        <f t="shared" si="113"/>
        <v>0</v>
      </c>
      <c r="X395" s="14">
        <v>0</v>
      </c>
      <c r="Y395" s="75">
        <v>0</v>
      </c>
      <c r="Z395" s="87">
        <f t="shared" si="114"/>
        <v>0</v>
      </c>
      <c r="AA395" s="14">
        <f t="shared" si="115"/>
        <v>0</v>
      </c>
      <c r="AB395" s="75">
        <v>0</v>
      </c>
      <c r="AC395" s="75">
        <v>0</v>
      </c>
      <c r="AD395" s="59">
        <f t="shared" si="116"/>
        <v>0</v>
      </c>
      <c r="AE395" s="73">
        <v>0</v>
      </c>
      <c r="AF395" s="73">
        <v>0</v>
      </c>
      <c r="AG395" s="15">
        <f t="shared" si="117"/>
        <v>0</v>
      </c>
      <c r="AH395" s="16">
        <f t="shared" si="118"/>
        <v>48</v>
      </c>
      <c r="AI395" s="17">
        <f t="shared" si="119"/>
        <v>0</v>
      </c>
      <c r="AJ395" s="12">
        <f>VLOOKUP(A395,'PreK Proxy - Sept. 2024'!$A$2:$I$674,9,FALSE)</f>
        <v>31</v>
      </c>
      <c r="AK395" s="18">
        <f t="shared" si="120"/>
        <v>1</v>
      </c>
    </row>
    <row r="396" spans="1:37" x14ac:dyDescent="0.35">
      <c r="A396" s="11" t="s">
        <v>800</v>
      </c>
      <c r="B396" s="12" t="s">
        <v>801</v>
      </c>
      <c r="C396" s="54" t="s">
        <v>1453</v>
      </c>
      <c r="D396" s="54" t="s">
        <v>379</v>
      </c>
      <c r="E396" s="66">
        <f t="shared" si="106"/>
        <v>38</v>
      </c>
      <c r="F396" s="13">
        <f t="shared" si="107"/>
        <v>0</v>
      </c>
      <c r="G396" s="67">
        <f t="shared" si="108"/>
        <v>38</v>
      </c>
      <c r="H396" s="64">
        <f t="shared" si="104"/>
        <v>38</v>
      </c>
      <c r="I396" s="80">
        <v>1</v>
      </c>
      <c r="J396" s="80">
        <v>37</v>
      </c>
      <c r="K396" s="59">
        <f t="shared" si="109"/>
        <v>38</v>
      </c>
      <c r="L396" s="59">
        <v>0</v>
      </c>
      <c r="M396" s="59">
        <v>0</v>
      </c>
      <c r="N396" s="59">
        <f t="shared" si="110"/>
        <v>0</v>
      </c>
      <c r="O396" s="15">
        <f t="shared" si="111"/>
        <v>0</v>
      </c>
      <c r="P396" s="87">
        <f t="shared" si="112"/>
        <v>0</v>
      </c>
      <c r="Q396" s="110">
        <v>0</v>
      </c>
      <c r="R396" s="59">
        <v>0</v>
      </c>
      <c r="S396" s="14">
        <v>0</v>
      </c>
      <c r="T396" s="59">
        <v>0</v>
      </c>
      <c r="U396" s="15">
        <f t="shared" si="105"/>
        <v>0</v>
      </c>
      <c r="V396" s="14">
        <v>0</v>
      </c>
      <c r="W396" s="15">
        <f t="shared" si="113"/>
        <v>0</v>
      </c>
      <c r="X396" s="14">
        <v>0</v>
      </c>
      <c r="Y396" s="75">
        <v>0</v>
      </c>
      <c r="Z396" s="87">
        <f t="shared" si="114"/>
        <v>0</v>
      </c>
      <c r="AA396" s="14">
        <f t="shared" si="115"/>
        <v>0</v>
      </c>
      <c r="AB396" s="75">
        <v>0</v>
      </c>
      <c r="AC396" s="75">
        <v>0</v>
      </c>
      <c r="AD396" s="59">
        <f t="shared" si="116"/>
        <v>0</v>
      </c>
      <c r="AE396" s="73">
        <v>0</v>
      </c>
      <c r="AF396" s="73">
        <v>0</v>
      </c>
      <c r="AG396" s="15">
        <f t="shared" si="117"/>
        <v>0</v>
      </c>
      <c r="AH396" s="16">
        <f t="shared" si="118"/>
        <v>37</v>
      </c>
      <c r="AI396" s="17">
        <f t="shared" si="119"/>
        <v>0</v>
      </c>
      <c r="AJ396" s="12">
        <f>VLOOKUP(A396,'PreK Proxy - Sept. 2024'!$A$2:$I$674,9,FALSE)</f>
        <v>50</v>
      </c>
      <c r="AK396" s="18">
        <f t="shared" si="120"/>
        <v>0.74</v>
      </c>
    </row>
    <row r="397" spans="1:37" x14ac:dyDescent="0.35">
      <c r="A397" s="11" t="s">
        <v>802</v>
      </c>
      <c r="B397" s="12" t="s">
        <v>803</v>
      </c>
      <c r="C397" s="54" t="s">
        <v>1453</v>
      </c>
      <c r="D397" s="54" t="s">
        <v>379</v>
      </c>
      <c r="E397" s="66">
        <f t="shared" si="106"/>
        <v>89</v>
      </c>
      <c r="F397" s="13">
        <f t="shared" si="107"/>
        <v>89</v>
      </c>
      <c r="G397" s="67">
        <f t="shared" si="108"/>
        <v>0</v>
      </c>
      <c r="H397" s="64">
        <f t="shared" si="104"/>
        <v>89</v>
      </c>
      <c r="I397" s="80">
        <v>0</v>
      </c>
      <c r="J397" s="80">
        <v>0</v>
      </c>
      <c r="K397" s="59">
        <f t="shared" si="109"/>
        <v>0</v>
      </c>
      <c r="L397" s="59">
        <v>0</v>
      </c>
      <c r="M397" s="59">
        <v>89</v>
      </c>
      <c r="N397" s="59">
        <f t="shared" si="110"/>
        <v>89</v>
      </c>
      <c r="O397" s="15">
        <f t="shared" si="111"/>
        <v>0</v>
      </c>
      <c r="P397" s="87">
        <f t="shared" si="112"/>
        <v>0</v>
      </c>
      <c r="Q397" s="110">
        <v>0</v>
      </c>
      <c r="R397" s="59">
        <v>0</v>
      </c>
      <c r="S397" s="14">
        <v>0</v>
      </c>
      <c r="T397" s="59">
        <v>0</v>
      </c>
      <c r="U397" s="15">
        <f t="shared" si="105"/>
        <v>0</v>
      </c>
      <c r="V397" s="14">
        <v>0</v>
      </c>
      <c r="W397" s="15">
        <f t="shared" si="113"/>
        <v>0</v>
      </c>
      <c r="X397" s="14">
        <v>0</v>
      </c>
      <c r="Y397" s="75">
        <v>0</v>
      </c>
      <c r="Z397" s="87">
        <f t="shared" si="114"/>
        <v>0</v>
      </c>
      <c r="AA397" s="14">
        <f t="shared" si="115"/>
        <v>0</v>
      </c>
      <c r="AB397" s="75">
        <v>0</v>
      </c>
      <c r="AC397" s="75">
        <v>0</v>
      </c>
      <c r="AD397" s="59">
        <f t="shared" si="116"/>
        <v>0</v>
      </c>
      <c r="AE397" s="73">
        <v>0</v>
      </c>
      <c r="AF397" s="73">
        <v>0</v>
      </c>
      <c r="AG397" s="15">
        <f t="shared" si="117"/>
        <v>0</v>
      </c>
      <c r="AH397" s="16">
        <f t="shared" si="118"/>
        <v>0</v>
      </c>
      <c r="AI397" s="17">
        <f t="shared" si="119"/>
        <v>89</v>
      </c>
      <c r="AJ397" s="12">
        <f>VLOOKUP(A397,'PreK Proxy - Sept. 2024'!$A$2:$I$674,9,FALSE)</f>
        <v>102</v>
      </c>
      <c r="AK397" s="18">
        <f t="shared" si="120"/>
        <v>0.87254901960784315</v>
      </c>
    </row>
    <row r="398" spans="1:37" x14ac:dyDescent="0.35">
      <c r="A398" s="11" t="s">
        <v>804</v>
      </c>
      <c r="B398" s="12" t="s">
        <v>805</v>
      </c>
      <c r="C398" s="54" t="s">
        <v>1453</v>
      </c>
      <c r="D398" s="54" t="s">
        <v>379</v>
      </c>
      <c r="E398" s="66">
        <f t="shared" si="106"/>
        <v>62</v>
      </c>
      <c r="F398" s="13">
        <f t="shared" si="107"/>
        <v>62</v>
      </c>
      <c r="G398" s="67">
        <f t="shared" si="108"/>
        <v>0</v>
      </c>
      <c r="H398" s="64">
        <f t="shared" si="104"/>
        <v>62</v>
      </c>
      <c r="I398" s="80">
        <v>0</v>
      </c>
      <c r="J398" s="80">
        <v>0</v>
      </c>
      <c r="K398" s="59">
        <f t="shared" si="109"/>
        <v>0</v>
      </c>
      <c r="L398" s="59">
        <v>26</v>
      </c>
      <c r="M398" s="59">
        <v>36</v>
      </c>
      <c r="N398" s="59">
        <f t="shared" si="110"/>
        <v>62</v>
      </c>
      <c r="O398" s="15">
        <f t="shared" si="111"/>
        <v>0</v>
      </c>
      <c r="P398" s="87">
        <f t="shared" si="112"/>
        <v>0</v>
      </c>
      <c r="Q398" s="110">
        <v>0</v>
      </c>
      <c r="R398" s="59">
        <v>0</v>
      </c>
      <c r="S398" s="14">
        <v>0</v>
      </c>
      <c r="T398" s="59">
        <v>0</v>
      </c>
      <c r="U398" s="15">
        <f t="shared" si="105"/>
        <v>0</v>
      </c>
      <c r="V398" s="14">
        <v>0</v>
      </c>
      <c r="W398" s="15">
        <f t="shared" si="113"/>
        <v>0</v>
      </c>
      <c r="X398" s="14">
        <v>0</v>
      </c>
      <c r="Y398" s="75">
        <v>0</v>
      </c>
      <c r="Z398" s="87">
        <f t="shared" si="114"/>
        <v>0</v>
      </c>
      <c r="AA398" s="14">
        <f t="shared" si="115"/>
        <v>0</v>
      </c>
      <c r="AB398" s="75">
        <v>0</v>
      </c>
      <c r="AC398" s="75">
        <v>0</v>
      </c>
      <c r="AD398" s="59">
        <f t="shared" si="116"/>
        <v>0</v>
      </c>
      <c r="AE398" s="73">
        <v>0</v>
      </c>
      <c r="AF398" s="73">
        <v>0</v>
      </c>
      <c r="AG398" s="15">
        <f t="shared" si="117"/>
        <v>0</v>
      </c>
      <c r="AH398" s="16">
        <f t="shared" si="118"/>
        <v>0</v>
      </c>
      <c r="AI398" s="17">
        <f t="shared" si="119"/>
        <v>36</v>
      </c>
      <c r="AJ398" s="12">
        <f>VLOOKUP(A398,'PreK Proxy - Sept. 2024'!$A$2:$I$674,9,FALSE)</f>
        <v>40</v>
      </c>
      <c r="AK398" s="18">
        <f t="shared" si="120"/>
        <v>0.9</v>
      </c>
    </row>
    <row r="399" spans="1:37" x14ac:dyDescent="0.35">
      <c r="A399" s="11" t="s">
        <v>806</v>
      </c>
      <c r="B399" s="12" t="s">
        <v>807</v>
      </c>
      <c r="C399" s="54" t="s">
        <v>1380</v>
      </c>
      <c r="D399" s="54" t="s">
        <v>117</v>
      </c>
      <c r="E399" s="66">
        <f t="shared" si="106"/>
        <v>40</v>
      </c>
      <c r="F399" s="13">
        <f t="shared" si="107"/>
        <v>17</v>
      </c>
      <c r="G399" s="67">
        <f t="shared" si="108"/>
        <v>23</v>
      </c>
      <c r="H399" s="64">
        <f t="shared" si="104"/>
        <v>40</v>
      </c>
      <c r="I399" s="80">
        <v>0</v>
      </c>
      <c r="J399" s="80">
        <v>23</v>
      </c>
      <c r="K399" s="59">
        <f t="shared" si="109"/>
        <v>23</v>
      </c>
      <c r="L399" s="59">
        <v>0</v>
      </c>
      <c r="M399" s="59">
        <v>17</v>
      </c>
      <c r="N399" s="59">
        <f t="shared" si="110"/>
        <v>17</v>
      </c>
      <c r="O399" s="15">
        <f t="shared" si="111"/>
        <v>0</v>
      </c>
      <c r="P399" s="87">
        <f t="shared" si="112"/>
        <v>0</v>
      </c>
      <c r="Q399" s="110">
        <v>0</v>
      </c>
      <c r="R399" s="59">
        <v>0</v>
      </c>
      <c r="S399" s="14">
        <v>0</v>
      </c>
      <c r="T399" s="59">
        <v>0</v>
      </c>
      <c r="U399" s="15">
        <f t="shared" si="105"/>
        <v>0</v>
      </c>
      <c r="V399" s="14">
        <v>0</v>
      </c>
      <c r="W399" s="15">
        <f t="shared" si="113"/>
        <v>0</v>
      </c>
      <c r="X399" s="14">
        <v>0</v>
      </c>
      <c r="Y399" s="75">
        <v>0</v>
      </c>
      <c r="Z399" s="87">
        <f t="shared" si="114"/>
        <v>0</v>
      </c>
      <c r="AA399" s="14">
        <f t="shared" si="115"/>
        <v>0</v>
      </c>
      <c r="AB399" s="75">
        <v>0</v>
      </c>
      <c r="AC399" s="75">
        <v>0</v>
      </c>
      <c r="AD399" s="59">
        <f t="shared" si="116"/>
        <v>0</v>
      </c>
      <c r="AE399" s="73">
        <v>0</v>
      </c>
      <c r="AF399" s="73">
        <v>0</v>
      </c>
      <c r="AG399" s="15">
        <f t="shared" si="117"/>
        <v>0</v>
      </c>
      <c r="AH399" s="16">
        <f t="shared" si="118"/>
        <v>23</v>
      </c>
      <c r="AI399" s="17">
        <f t="shared" si="119"/>
        <v>17</v>
      </c>
      <c r="AJ399" s="12">
        <f>VLOOKUP(A399,'PreK Proxy - Sept. 2024'!$A$2:$I$674,9,FALSE)</f>
        <v>73</v>
      </c>
      <c r="AK399" s="18">
        <f t="shared" si="120"/>
        <v>0.54794520547945202</v>
      </c>
    </row>
    <row r="400" spans="1:37" x14ac:dyDescent="0.35">
      <c r="A400" s="11" t="s">
        <v>808</v>
      </c>
      <c r="B400" s="12" t="s">
        <v>809</v>
      </c>
      <c r="C400" s="54" t="s">
        <v>1380</v>
      </c>
      <c r="D400" s="54" t="s">
        <v>117</v>
      </c>
      <c r="E400" s="66">
        <f t="shared" si="106"/>
        <v>152</v>
      </c>
      <c r="F400" s="13">
        <f t="shared" si="107"/>
        <v>96</v>
      </c>
      <c r="G400" s="67">
        <f t="shared" si="108"/>
        <v>56</v>
      </c>
      <c r="H400" s="64">
        <f t="shared" si="104"/>
        <v>152</v>
      </c>
      <c r="I400" s="80">
        <v>0</v>
      </c>
      <c r="J400" s="80">
        <v>56</v>
      </c>
      <c r="K400" s="59">
        <f t="shared" si="109"/>
        <v>56</v>
      </c>
      <c r="L400" s="59">
        <v>0</v>
      </c>
      <c r="M400" s="59">
        <v>96</v>
      </c>
      <c r="N400" s="59">
        <f t="shared" si="110"/>
        <v>96</v>
      </c>
      <c r="O400" s="15">
        <f t="shared" si="111"/>
        <v>0</v>
      </c>
      <c r="P400" s="87">
        <f t="shared" si="112"/>
        <v>0</v>
      </c>
      <c r="Q400" s="110">
        <v>0</v>
      </c>
      <c r="R400" s="59">
        <v>0</v>
      </c>
      <c r="S400" s="14">
        <v>0</v>
      </c>
      <c r="T400" s="59">
        <v>0</v>
      </c>
      <c r="U400" s="15">
        <f t="shared" si="105"/>
        <v>0</v>
      </c>
      <c r="V400" s="14">
        <v>0</v>
      </c>
      <c r="W400" s="15">
        <f t="shared" si="113"/>
        <v>0</v>
      </c>
      <c r="X400" s="14">
        <v>0</v>
      </c>
      <c r="Y400" s="75">
        <v>0</v>
      </c>
      <c r="Z400" s="87">
        <f t="shared" si="114"/>
        <v>0</v>
      </c>
      <c r="AA400" s="14">
        <f t="shared" si="115"/>
        <v>0</v>
      </c>
      <c r="AB400" s="75">
        <v>0</v>
      </c>
      <c r="AC400" s="75">
        <v>0</v>
      </c>
      <c r="AD400" s="59">
        <f t="shared" si="116"/>
        <v>0</v>
      </c>
      <c r="AE400" s="73">
        <v>0</v>
      </c>
      <c r="AF400" s="73">
        <v>0</v>
      </c>
      <c r="AG400" s="15">
        <f t="shared" si="117"/>
        <v>0</v>
      </c>
      <c r="AH400" s="16">
        <f t="shared" si="118"/>
        <v>56</v>
      </c>
      <c r="AI400" s="17">
        <f t="shared" si="119"/>
        <v>96</v>
      </c>
      <c r="AJ400" s="12">
        <f>VLOOKUP(A400,'PreK Proxy - Sept. 2024'!$A$2:$I$674,9,FALSE)</f>
        <v>209</v>
      </c>
      <c r="AK400" s="18">
        <f t="shared" si="120"/>
        <v>0.72727272727272729</v>
      </c>
    </row>
    <row r="401" spans="1:37" x14ac:dyDescent="0.35">
      <c r="A401" s="11" t="s">
        <v>810</v>
      </c>
      <c r="B401" s="12" t="s">
        <v>811</v>
      </c>
      <c r="C401" s="54" t="s">
        <v>1380</v>
      </c>
      <c r="D401" s="54" t="s">
        <v>117</v>
      </c>
      <c r="E401" s="66">
        <f t="shared" si="106"/>
        <v>72</v>
      </c>
      <c r="F401" s="13">
        <f t="shared" si="107"/>
        <v>72</v>
      </c>
      <c r="G401" s="67">
        <f t="shared" si="108"/>
        <v>0</v>
      </c>
      <c r="H401" s="64">
        <f t="shared" si="104"/>
        <v>47</v>
      </c>
      <c r="I401" s="80">
        <v>0</v>
      </c>
      <c r="J401" s="80">
        <v>0</v>
      </c>
      <c r="K401" s="59">
        <f t="shared" si="109"/>
        <v>0</v>
      </c>
      <c r="L401" s="59">
        <v>0</v>
      </c>
      <c r="M401" s="59">
        <v>47</v>
      </c>
      <c r="N401" s="59">
        <f t="shared" si="110"/>
        <v>47</v>
      </c>
      <c r="O401" s="15">
        <f t="shared" si="111"/>
        <v>0</v>
      </c>
      <c r="P401" s="87">
        <f t="shared" si="112"/>
        <v>0</v>
      </c>
      <c r="Q401" s="110">
        <v>0</v>
      </c>
      <c r="R401" s="59">
        <v>0</v>
      </c>
      <c r="S401" s="14">
        <v>0</v>
      </c>
      <c r="T401" s="59">
        <v>0</v>
      </c>
      <c r="U401" s="15">
        <f t="shared" si="105"/>
        <v>0</v>
      </c>
      <c r="V401" s="14">
        <v>0</v>
      </c>
      <c r="W401" s="15">
        <f t="shared" si="113"/>
        <v>0</v>
      </c>
      <c r="X401" s="14">
        <v>25</v>
      </c>
      <c r="Y401" s="75">
        <v>0</v>
      </c>
      <c r="Z401" s="87">
        <f t="shared" si="114"/>
        <v>25</v>
      </c>
      <c r="AA401" s="14">
        <f t="shared" si="115"/>
        <v>0</v>
      </c>
      <c r="AB401" s="75">
        <v>0</v>
      </c>
      <c r="AC401" s="75">
        <v>0</v>
      </c>
      <c r="AD401" s="59">
        <f t="shared" si="116"/>
        <v>0</v>
      </c>
      <c r="AE401" s="73">
        <v>0</v>
      </c>
      <c r="AF401" s="73">
        <v>0</v>
      </c>
      <c r="AG401" s="15">
        <f t="shared" si="117"/>
        <v>0</v>
      </c>
      <c r="AH401" s="16">
        <f t="shared" si="118"/>
        <v>0</v>
      </c>
      <c r="AI401" s="17">
        <f t="shared" si="119"/>
        <v>72</v>
      </c>
      <c r="AJ401" s="12">
        <f>VLOOKUP(A401,'PreK Proxy - Sept. 2024'!$A$2:$I$674,9,FALSE)</f>
        <v>75</v>
      </c>
      <c r="AK401" s="18">
        <f t="shared" si="120"/>
        <v>0.96</v>
      </c>
    </row>
    <row r="402" spans="1:37" x14ac:dyDescent="0.35">
      <c r="A402" s="11" t="s">
        <v>812</v>
      </c>
      <c r="B402" s="12" t="s">
        <v>813</v>
      </c>
      <c r="C402" s="54" t="s">
        <v>1380</v>
      </c>
      <c r="D402" s="54" t="s">
        <v>117</v>
      </c>
      <c r="E402" s="66">
        <f t="shared" si="106"/>
        <v>103</v>
      </c>
      <c r="F402" s="13">
        <f t="shared" si="107"/>
        <v>0</v>
      </c>
      <c r="G402" s="67">
        <f t="shared" si="108"/>
        <v>103</v>
      </c>
      <c r="H402" s="64">
        <f t="shared" si="104"/>
        <v>103</v>
      </c>
      <c r="I402" s="80">
        <v>0</v>
      </c>
      <c r="J402" s="80">
        <v>103</v>
      </c>
      <c r="K402" s="59">
        <f t="shared" si="109"/>
        <v>103</v>
      </c>
      <c r="L402" s="59">
        <v>0</v>
      </c>
      <c r="M402" s="59">
        <v>0</v>
      </c>
      <c r="N402" s="59">
        <f t="shared" si="110"/>
        <v>0</v>
      </c>
      <c r="O402" s="15">
        <f t="shared" si="111"/>
        <v>0</v>
      </c>
      <c r="P402" s="87">
        <f t="shared" si="112"/>
        <v>0</v>
      </c>
      <c r="Q402" s="110">
        <v>0</v>
      </c>
      <c r="R402" s="59">
        <v>0</v>
      </c>
      <c r="S402" s="14">
        <v>0</v>
      </c>
      <c r="T402" s="59">
        <v>0</v>
      </c>
      <c r="U402" s="15">
        <f t="shared" si="105"/>
        <v>0</v>
      </c>
      <c r="V402" s="14">
        <v>0</v>
      </c>
      <c r="W402" s="15">
        <f t="shared" si="113"/>
        <v>0</v>
      </c>
      <c r="X402" s="14">
        <v>0</v>
      </c>
      <c r="Y402" s="75">
        <v>0</v>
      </c>
      <c r="Z402" s="87">
        <f t="shared" si="114"/>
        <v>0</v>
      </c>
      <c r="AA402" s="14">
        <f t="shared" si="115"/>
        <v>0</v>
      </c>
      <c r="AB402" s="75">
        <v>0</v>
      </c>
      <c r="AC402" s="75">
        <v>0</v>
      </c>
      <c r="AD402" s="59">
        <f t="shared" si="116"/>
        <v>0</v>
      </c>
      <c r="AE402" s="73">
        <v>0</v>
      </c>
      <c r="AF402" s="73">
        <v>0</v>
      </c>
      <c r="AG402" s="15">
        <f t="shared" si="117"/>
        <v>0</v>
      </c>
      <c r="AH402" s="16">
        <f t="shared" si="118"/>
        <v>103</v>
      </c>
      <c r="AI402" s="17">
        <f t="shared" si="119"/>
        <v>0</v>
      </c>
      <c r="AJ402" s="12">
        <f>VLOOKUP(A402,'PreK Proxy - Sept. 2024'!$A$2:$I$674,9,FALSE)</f>
        <v>209</v>
      </c>
      <c r="AK402" s="18">
        <f t="shared" si="120"/>
        <v>0.49282296650717705</v>
      </c>
    </row>
    <row r="403" spans="1:37" x14ac:dyDescent="0.35">
      <c r="A403" s="11" t="s">
        <v>814</v>
      </c>
      <c r="B403" s="12" t="s">
        <v>815</v>
      </c>
      <c r="C403" s="54" t="s">
        <v>1380</v>
      </c>
      <c r="D403" s="54" t="s">
        <v>117</v>
      </c>
      <c r="E403" s="66">
        <f t="shared" si="106"/>
        <v>94</v>
      </c>
      <c r="F403" s="13">
        <f t="shared" si="107"/>
        <v>94</v>
      </c>
      <c r="G403" s="67">
        <f t="shared" si="108"/>
        <v>0</v>
      </c>
      <c r="H403" s="64">
        <f t="shared" si="104"/>
        <v>94</v>
      </c>
      <c r="I403" s="80">
        <v>0</v>
      </c>
      <c r="J403" s="80">
        <v>0</v>
      </c>
      <c r="K403" s="59">
        <f t="shared" si="109"/>
        <v>0</v>
      </c>
      <c r="L403" s="59">
        <v>0</v>
      </c>
      <c r="M403" s="59">
        <v>94</v>
      </c>
      <c r="N403" s="59">
        <f t="shared" si="110"/>
        <v>94</v>
      </c>
      <c r="O403" s="15">
        <f t="shared" si="111"/>
        <v>0</v>
      </c>
      <c r="P403" s="87">
        <f t="shared" si="112"/>
        <v>0</v>
      </c>
      <c r="Q403" s="110">
        <v>0</v>
      </c>
      <c r="R403" s="59">
        <v>0</v>
      </c>
      <c r="S403" s="14">
        <v>0</v>
      </c>
      <c r="T403" s="59">
        <v>0</v>
      </c>
      <c r="U403" s="15">
        <f t="shared" si="105"/>
        <v>0</v>
      </c>
      <c r="V403" s="14">
        <v>0</v>
      </c>
      <c r="W403" s="15">
        <f t="shared" si="113"/>
        <v>0</v>
      </c>
      <c r="X403" s="14">
        <v>0</v>
      </c>
      <c r="Y403" s="75">
        <v>0</v>
      </c>
      <c r="Z403" s="87">
        <f t="shared" si="114"/>
        <v>0</v>
      </c>
      <c r="AA403" s="14">
        <f t="shared" si="115"/>
        <v>0</v>
      </c>
      <c r="AB403" s="75">
        <v>0</v>
      </c>
      <c r="AC403" s="75">
        <v>0</v>
      </c>
      <c r="AD403" s="59">
        <f t="shared" si="116"/>
        <v>0</v>
      </c>
      <c r="AE403" s="73">
        <v>0</v>
      </c>
      <c r="AF403" s="73">
        <v>0</v>
      </c>
      <c r="AG403" s="15">
        <f t="shared" si="117"/>
        <v>0</v>
      </c>
      <c r="AH403" s="16">
        <f t="shared" si="118"/>
        <v>0</v>
      </c>
      <c r="AI403" s="17">
        <f t="shared" si="119"/>
        <v>94</v>
      </c>
      <c r="AJ403" s="12">
        <f>VLOOKUP(A403,'PreK Proxy - Sept. 2024'!$A$2:$I$674,9,FALSE)</f>
        <v>118</v>
      </c>
      <c r="AK403" s="18">
        <f t="shared" si="120"/>
        <v>0.79661016949152541</v>
      </c>
    </row>
    <row r="404" spans="1:37" x14ac:dyDescent="0.35">
      <c r="A404" s="11" t="s">
        <v>816</v>
      </c>
      <c r="B404" s="12" t="s">
        <v>817</v>
      </c>
      <c r="C404" s="54" t="s">
        <v>1380</v>
      </c>
      <c r="D404" s="54" t="s">
        <v>117</v>
      </c>
      <c r="E404" s="66">
        <f t="shared" si="106"/>
        <v>111</v>
      </c>
      <c r="F404" s="13">
        <f t="shared" si="107"/>
        <v>18</v>
      </c>
      <c r="G404" s="67">
        <f t="shared" si="108"/>
        <v>93</v>
      </c>
      <c r="H404" s="64">
        <f t="shared" si="104"/>
        <v>111</v>
      </c>
      <c r="I404" s="80">
        <v>0</v>
      </c>
      <c r="J404" s="80">
        <v>93</v>
      </c>
      <c r="K404" s="59">
        <f t="shared" si="109"/>
        <v>93</v>
      </c>
      <c r="L404" s="59">
        <v>0</v>
      </c>
      <c r="M404" s="59">
        <v>18</v>
      </c>
      <c r="N404" s="59">
        <f t="shared" si="110"/>
        <v>18</v>
      </c>
      <c r="O404" s="15">
        <f t="shared" si="111"/>
        <v>0</v>
      </c>
      <c r="P404" s="87">
        <f t="shared" si="112"/>
        <v>0</v>
      </c>
      <c r="Q404" s="110">
        <v>0</v>
      </c>
      <c r="R404" s="59">
        <v>0</v>
      </c>
      <c r="S404" s="14">
        <v>0</v>
      </c>
      <c r="T404" s="59">
        <v>0</v>
      </c>
      <c r="U404" s="15">
        <f t="shared" si="105"/>
        <v>0</v>
      </c>
      <c r="V404" s="14">
        <v>0</v>
      </c>
      <c r="W404" s="15">
        <f t="shared" si="113"/>
        <v>0</v>
      </c>
      <c r="X404" s="14">
        <v>0</v>
      </c>
      <c r="Y404" s="75">
        <v>0</v>
      </c>
      <c r="Z404" s="87">
        <f t="shared" si="114"/>
        <v>0</v>
      </c>
      <c r="AA404" s="14">
        <f t="shared" si="115"/>
        <v>0</v>
      </c>
      <c r="AB404" s="75">
        <v>0</v>
      </c>
      <c r="AC404" s="75">
        <v>0</v>
      </c>
      <c r="AD404" s="59">
        <f t="shared" si="116"/>
        <v>0</v>
      </c>
      <c r="AE404" s="73">
        <v>0</v>
      </c>
      <c r="AF404" s="73">
        <v>0</v>
      </c>
      <c r="AG404" s="15">
        <f t="shared" si="117"/>
        <v>0</v>
      </c>
      <c r="AH404" s="16">
        <f t="shared" si="118"/>
        <v>93</v>
      </c>
      <c r="AI404" s="17">
        <f t="shared" si="119"/>
        <v>18</v>
      </c>
      <c r="AJ404" s="12">
        <f>VLOOKUP(A404,'PreK Proxy - Sept. 2024'!$A$2:$I$674,9,FALSE)</f>
        <v>202</v>
      </c>
      <c r="AK404" s="18">
        <f t="shared" si="120"/>
        <v>0.54950495049504955</v>
      </c>
    </row>
    <row r="405" spans="1:37" x14ac:dyDescent="0.35">
      <c r="A405" s="11" t="s">
        <v>818</v>
      </c>
      <c r="B405" s="12" t="s">
        <v>819</v>
      </c>
      <c r="C405" s="54" t="s">
        <v>1380</v>
      </c>
      <c r="D405" s="54" t="s">
        <v>117</v>
      </c>
      <c r="E405" s="66">
        <f t="shared" si="106"/>
        <v>43</v>
      </c>
      <c r="F405" s="13">
        <f t="shared" si="107"/>
        <v>18</v>
      </c>
      <c r="G405" s="67">
        <f t="shared" si="108"/>
        <v>25</v>
      </c>
      <c r="H405" s="64">
        <f t="shared" si="104"/>
        <v>34</v>
      </c>
      <c r="I405" s="80">
        <v>0</v>
      </c>
      <c r="J405" s="80">
        <v>25</v>
      </c>
      <c r="K405" s="59">
        <f t="shared" si="109"/>
        <v>25</v>
      </c>
      <c r="L405" s="59">
        <v>0</v>
      </c>
      <c r="M405" s="59">
        <v>9</v>
      </c>
      <c r="N405" s="59">
        <f t="shared" si="110"/>
        <v>9</v>
      </c>
      <c r="O405" s="15">
        <f t="shared" si="111"/>
        <v>0</v>
      </c>
      <c r="P405" s="87">
        <f t="shared" si="112"/>
        <v>0</v>
      </c>
      <c r="Q405" s="110">
        <v>0</v>
      </c>
      <c r="R405" s="59">
        <v>0</v>
      </c>
      <c r="S405" s="14">
        <v>0</v>
      </c>
      <c r="T405" s="59">
        <v>0</v>
      </c>
      <c r="U405" s="15">
        <f t="shared" si="105"/>
        <v>0</v>
      </c>
      <c r="V405" s="14">
        <v>9</v>
      </c>
      <c r="W405" s="15">
        <f t="shared" si="113"/>
        <v>9</v>
      </c>
      <c r="X405" s="14">
        <v>0</v>
      </c>
      <c r="Y405" s="75">
        <v>0</v>
      </c>
      <c r="Z405" s="87">
        <f t="shared" si="114"/>
        <v>0</v>
      </c>
      <c r="AA405" s="14">
        <f t="shared" si="115"/>
        <v>0</v>
      </c>
      <c r="AB405" s="75">
        <v>0</v>
      </c>
      <c r="AC405" s="75">
        <v>0</v>
      </c>
      <c r="AD405" s="59">
        <f t="shared" si="116"/>
        <v>0</v>
      </c>
      <c r="AE405" s="73">
        <v>0</v>
      </c>
      <c r="AF405" s="73">
        <v>0</v>
      </c>
      <c r="AG405" s="15">
        <f t="shared" si="117"/>
        <v>0</v>
      </c>
      <c r="AH405" s="16">
        <f t="shared" si="118"/>
        <v>25</v>
      </c>
      <c r="AI405" s="17">
        <f t="shared" si="119"/>
        <v>18</v>
      </c>
      <c r="AJ405" s="12">
        <f>VLOOKUP(A405,'PreK Proxy - Sept. 2024'!$A$2:$I$674,9,FALSE)</f>
        <v>56</v>
      </c>
      <c r="AK405" s="18">
        <f t="shared" si="120"/>
        <v>0.7678571428571429</v>
      </c>
    </row>
    <row r="406" spans="1:37" x14ac:dyDescent="0.35">
      <c r="A406" s="11" t="s">
        <v>820</v>
      </c>
      <c r="B406" s="12" t="s">
        <v>821</v>
      </c>
      <c r="C406" s="54" t="s">
        <v>1380</v>
      </c>
      <c r="D406" s="54" t="s">
        <v>117</v>
      </c>
      <c r="E406" s="66">
        <f t="shared" si="106"/>
        <v>38</v>
      </c>
      <c r="F406" s="13">
        <f t="shared" si="107"/>
        <v>38</v>
      </c>
      <c r="G406" s="67">
        <f t="shared" si="108"/>
        <v>0</v>
      </c>
      <c r="H406" s="64">
        <f t="shared" si="104"/>
        <v>17</v>
      </c>
      <c r="I406" s="80">
        <v>0</v>
      </c>
      <c r="J406" s="80">
        <v>0</v>
      </c>
      <c r="K406" s="59">
        <f t="shared" si="109"/>
        <v>0</v>
      </c>
      <c r="L406" s="59">
        <v>0</v>
      </c>
      <c r="M406" s="59">
        <v>17</v>
      </c>
      <c r="N406" s="59">
        <f t="shared" si="110"/>
        <v>17</v>
      </c>
      <c r="O406" s="15">
        <f t="shared" si="111"/>
        <v>1</v>
      </c>
      <c r="P406" s="87">
        <f t="shared" si="112"/>
        <v>0</v>
      </c>
      <c r="Q406" s="110">
        <v>0</v>
      </c>
      <c r="R406" s="59">
        <v>0</v>
      </c>
      <c r="S406" s="14">
        <v>0</v>
      </c>
      <c r="T406" s="59">
        <v>0</v>
      </c>
      <c r="U406" s="15">
        <f t="shared" si="105"/>
        <v>0</v>
      </c>
      <c r="V406" s="14">
        <v>0</v>
      </c>
      <c r="W406" s="15">
        <f t="shared" si="113"/>
        <v>0</v>
      </c>
      <c r="X406" s="14">
        <v>21</v>
      </c>
      <c r="Y406" s="75">
        <v>1</v>
      </c>
      <c r="Z406" s="87">
        <f t="shared" si="114"/>
        <v>22</v>
      </c>
      <c r="AA406" s="14">
        <f t="shared" si="115"/>
        <v>0</v>
      </c>
      <c r="AB406" s="75">
        <v>0</v>
      </c>
      <c r="AC406" s="75">
        <v>0</v>
      </c>
      <c r="AD406" s="59">
        <f t="shared" si="116"/>
        <v>0</v>
      </c>
      <c r="AE406" s="73">
        <v>0</v>
      </c>
      <c r="AF406" s="73">
        <v>0</v>
      </c>
      <c r="AG406" s="15">
        <f t="shared" si="117"/>
        <v>0</v>
      </c>
      <c r="AH406" s="16">
        <f t="shared" si="118"/>
        <v>0</v>
      </c>
      <c r="AI406" s="17">
        <f t="shared" si="119"/>
        <v>38</v>
      </c>
      <c r="AJ406" s="12">
        <f>VLOOKUP(A406,'PreK Proxy - Sept. 2024'!$A$2:$I$674,9,FALSE)</f>
        <v>55</v>
      </c>
      <c r="AK406" s="18">
        <f t="shared" si="120"/>
        <v>0.69090909090909092</v>
      </c>
    </row>
    <row r="407" spans="1:37" x14ac:dyDescent="0.35">
      <c r="A407" s="11" t="s">
        <v>822</v>
      </c>
      <c r="B407" s="12" t="s">
        <v>823</v>
      </c>
      <c r="C407" s="54" t="s">
        <v>1380</v>
      </c>
      <c r="D407" s="54" t="s">
        <v>117</v>
      </c>
      <c r="E407" s="66">
        <f t="shared" si="106"/>
        <v>59</v>
      </c>
      <c r="F407" s="13">
        <f t="shared" si="107"/>
        <v>59</v>
      </c>
      <c r="G407" s="67">
        <f t="shared" si="108"/>
        <v>0</v>
      </c>
      <c r="H407" s="64">
        <f t="shared" si="104"/>
        <v>59</v>
      </c>
      <c r="I407" s="80">
        <v>0</v>
      </c>
      <c r="J407" s="80">
        <v>0</v>
      </c>
      <c r="K407" s="59">
        <f t="shared" si="109"/>
        <v>0</v>
      </c>
      <c r="L407" s="59">
        <v>0</v>
      </c>
      <c r="M407" s="59">
        <v>59</v>
      </c>
      <c r="N407" s="59">
        <f t="shared" si="110"/>
        <v>59</v>
      </c>
      <c r="O407" s="15">
        <f t="shared" si="111"/>
        <v>0</v>
      </c>
      <c r="P407" s="87">
        <f t="shared" si="112"/>
        <v>0</v>
      </c>
      <c r="Q407" s="110">
        <v>0</v>
      </c>
      <c r="R407" s="59">
        <v>0</v>
      </c>
      <c r="S407" s="14">
        <v>0</v>
      </c>
      <c r="T407" s="59">
        <v>0</v>
      </c>
      <c r="U407" s="15">
        <f t="shared" si="105"/>
        <v>0</v>
      </c>
      <c r="V407" s="14">
        <v>0</v>
      </c>
      <c r="W407" s="15">
        <f t="shared" si="113"/>
        <v>0</v>
      </c>
      <c r="X407" s="14">
        <v>0</v>
      </c>
      <c r="Y407" s="75">
        <v>0</v>
      </c>
      <c r="Z407" s="87">
        <f t="shared" si="114"/>
        <v>0</v>
      </c>
      <c r="AA407" s="14">
        <f t="shared" si="115"/>
        <v>0</v>
      </c>
      <c r="AB407" s="75">
        <v>0</v>
      </c>
      <c r="AC407" s="75">
        <v>0</v>
      </c>
      <c r="AD407" s="59">
        <f t="shared" si="116"/>
        <v>0</v>
      </c>
      <c r="AE407" s="73">
        <v>0</v>
      </c>
      <c r="AF407" s="73">
        <v>0</v>
      </c>
      <c r="AG407" s="15">
        <f t="shared" si="117"/>
        <v>0</v>
      </c>
      <c r="AH407" s="16">
        <f t="shared" si="118"/>
        <v>0</v>
      </c>
      <c r="AI407" s="17">
        <f t="shared" si="119"/>
        <v>59</v>
      </c>
      <c r="AJ407" s="12">
        <f>VLOOKUP(A407,'PreK Proxy - Sept. 2024'!$A$2:$I$674,9,FALSE)</f>
        <v>102</v>
      </c>
      <c r="AK407" s="18">
        <f t="shared" si="120"/>
        <v>0.57843137254901966</v>
      </c>
    </row>
    <row r="408" spans="1:37" x14ac:dyDescent="0.35">
      <c r="A408" s="11" t="s">
        <v>824</v>
      </c>
      <c r="B408" s="12" t="s">
        <v>825</v>
      </c>
      <c r="C408" s="54" t="s">
        <v>1422</v>
      </c>
      <c r="D408" s="54" t="s">
        <v>366</v>
      </c>
      <c r="E408" s="66">
        <f t="shared" si="106"/>
        <v>22</v>
      </c>
      <c r="F408" s="13">
        <f t="shared" si="107"/>
        <v>22</v>
      </c>
      <c r="G408" s="67">
        <f t="shared" si="108"/>
        <v>0</v>
      </c>
      <c r="H408" s="64">
        <f t="shared" si="104"/>
        <v>0</v>
      </c>
      <c r="I408" s="80">
        <v>0</v>
      </c>
      <c r="J408" s="80">
        <v>0</v>
      </c>
      <c r="K408" s="59">
        <f t="shared" si="109"/>
        <v>0</v>
      </c>
      <c r="L408" s="59">
        <v>0</v>
      </c>
      <c r="M408" s="59">
        <v>0</v>
      </c>
      <c r="N408" s="59">
        <f t="shared" si="110"/>
        <v>0</v>
      </c>
      <c r="O408" s="15">
        <f t="shared" si="111"/>
        <v>0</v>
      </c>
      <c r="P408" s="87">
        <f t="shared" si="112"/>
        <v>22</v>
      </c>
      <c r="Q408" s="110">
        <v>0</v>
      </c>
      <c r="R408" s="59">
        <v>22</v>
      </c>
      <c r="S408" s="14">
        <v>0</v>
      </c>
      <c r="T408" s="59">
        <v>0</v>
      </c>
      <c r="U408" s="15">
        <f t="shared" si="105"/>
        <v>0</v>
      </c>
      <c r="V408" s="14">
        <v>0</v>
      </c>
      <c r="W408" s="15">
        <f t="shared" si="113"/>
        <v>0</v>
      </c>
      <c r="X408" s="14">
        <v>0</v>
      </c>
      <c r="Y408" s="75">
        <v>0</v>
      </c>
      <c r="Z408" s="87">
        <f t="shared" si="114"/>
        <v>0</v>
      </c>
      <c r="AA408" s="14">
        <f t="shared" si="115"/>
        <v>0</v>
      </c>
      <c r="AB408" s="75">
        <v>0</v>
      </c>
      <c r="AC408" s="75">
        <v>0</v>
      </c>
      <c r="AD408" s="59">
        <f t="shared" si="116"/>
        <v>0</v>
      </c>
      <c r="AE408" s="73">
        <v>0</v>
      </c>
      <c r="AF408" s="73">
        <v>0</v>
      </c>
      <c r="AG408" s="15">
        <f t="shared" si="117"/>
        <v>0</v>
      </c>
      <c r="AH408" s="16">
        <f t="shared" si="118"/>
        <v>0</v>
      </c>
      <c r="AI408" s="17">
        <f t="shared" si="119"/>
        <v>22</v>
      </c>
      <c r="AJ408" s="12">
        <f>VLOOKUP(A408,'PreK Proxy - Sept. 2024'!$A$2:$I$674,9,FALSE)</f>
        <v>21</v>
      </c>
      <c r="AK408" s="18">
        <f t="shared" si="120"/>
        <v>1</v>
      </c>
    </row>
    <row r="409" spans="1:37" x14ac:dyDescent="0.35">
      <c r="A409" s="11" t="s">
        <v>826</v>
      </c>
      <c r="B409" s="12" t="s">
        <v>827</v>
      </c>
      <c r="C409" s="54" t="s">
        <v>1422</v>
      </c>
      <c r="D409" s="54" t="s">
        <v>366</v>
      </c>
      <c r="E409" s="66">
        <f t="shared" si="106"/>
        <v>16</v>
      </c>
      <c r="F409" s="13">
        <f t="shared" si="107"/>
        <v>16</v>
      </c>
      <c r="G409" s="67">
        <f t="shared" si="108"/>
        <v>0</v>
      </c>
      <c r="H409" s="64">
        <f t="shared" si="104"/>
        <v>16</v>
      </c>
      <c r="I409" s="80">
        <v>0</v>
      </c>
      <c r="J409" s="80">
        <v>0</v>
      </c>
      <c r="K409" s="59">
        <f t="shared" si="109"/>
        <v>0</v>
      </c>
      <c r="L409" s="59">
        <v>0</v>
      </c>
      <c r="M409" s="59">
        <v>16</v>
      </c>
      <c r="N409" s="59">
        <f t="shared" si="110"/>
        <v>16</v>
      </c>
      <c r="O409" s="15">
        <f t="shared" si="111"/>
        <v>0</v>
      </c>
      <c r="P409" s="87">
        <f t="shared" si="112"/>
        <v>0</v>
      </c>
      <c r="Q409" s="110">
        <v>0</v>
      </c>
      <c r="R409" s="59">
        <v>0</v>
      </c>
      <c r="S409" s="14">
        <v>0</v>
      </c>
      <c r="T409" s="59">
        <v>0</v>
      </c>
      <c r="U409" s="15">
        <f t="shared" si="105"/>
        <v>0</v>
      </c>
      <c r="V409" s="14">
        <v>0</v>
      </c>
      <c r="W409" s="15">
        <f t="shared" si="113"/>
        <v>0</v>
      </c>
      <c r="X409" s="14">
        <v>0</v>
      </c>
      <c r="Y409" s="75">
        <v>0</v>
      </c>
      <c r="Z409" s="87">
        <f t="shared" si="114"/>
        <v>0</v>
      </c>
      <c r="AA409" s="14">
        <f t="shared" si="115"/>
        <v>0</v>
      </c>
      <c r="AB409" s="75">
        <v>0</v>
      </c>
      <c r="AC409" s="75">
        <v>0</v>
      </c>
      <c r="AD409" s="59">
        <f t="shared" si="116"/>
        <v>0</v>
      </c>
      <c r="AE409" s="73">
        <v>0</v>
      </c>
      <c r="AF409" s="73">
        <v>0</v>
      </c>
      <c r="AG409" s="15">
        <f t="shared" si="117"/>
        <v>0</v>
      </c>
      <c r="AH409" s="16">
        <f t="shared" si="118"/>
        <v>0</v>
      </c>
      <c r="AI409" s="17">
        <f t="shared" si="119"/>
        <v>16</v>
      </c>
      <c r="AJ409" s="12">
        <f>VLOOKUP(A409,'PreK Proxy - Sept. 2024'!$A$2:$I$674,9,FALSE)</f>
        <v>26</v>
      </c>
      <c r="AK409" s="18">
        <f t="shared" si="120"/>
        <v>0.61538461538461542</v>
      </c>
    </row>
    <row r="410" spans="1:37" x14ac:dyDescent="0.35">
      <c r="A410" s="11" t="s">
        <v>828</v>
      </c>
      <c r="B410" s="12" t="s">
        <v>829</v>
      </c>
      <c r="C410" s="54" t="s">
        <v>1422</v>
      </c>
      <c r="D410" s="54" t="s">
        <v>366</v>
      </c>
      <c r="E410" s="66">
        <f t="shared" si="106"/>
        <v>15</v>
      </c>
      <c r="F410" s="13">
        <f t="shared" si="107"/>
        <v>15</v>
      </c>
      <c r="G410" s="67">
        <f t="shared" si="108"/>
        <v>0</v>
      </c>
      <c r="H410" s="64">
        <f t="shared" si="104"/>
        <v>0</v>
      </c>
      <c r="I410" s="80">
        <v>0</v>
      </c>
      <c r="J410" s="80">
        <v>0</v>
      </c>
      <c r="K410" s="59">
        <f t="shared" si="109"/>
        <v>0</v>
      </c>
      <c r="L410" s="59">
        <v>0</v>
      </c>
      <c r="M410" s="59">
        <v>0</v>
      </c>
      <c r="N410" s="59">
        <f t="shared" si="110"/>
        <v>0</v>
      </c>
      <c r="O410" s="15">
        <f t="shared" si="111"/>
        <v>0</v>
      </c>
      <c r="P410" s="87">
        <f t="shared" si="112"/>
        <v>15</v>
      </c>
      <c r="Q410" s="110">
        <v>0</v>
      </c>
      <c r="R410" s="59">
        <v>15</v>
      </c>
      <c r="S410" s="14">
        <v>0</v>
      </c>
      <c r="T410" s="59">
        <v>0</v>
      </c>
      <c r="U410" s="15">
        <f t="shared" si="105"/>
        <v>0</v>
      </c>
      <c r="V410" s="14">
        <v>0</v>
      </c>
      <c r="W410" s="15">
        <f t="shared" si="113"/>
        <v>0</v>
      </c>
      <c r="X410" s="14">
        <v>0</v>
      </c>
      <c r="Y410" s="75">
        <v>0</v>
      </c>
      <c r="Z410" s="87">
        <f t="shared" si="114"/>
        <v>0</v>
      </c>
      <c r="AA410" s="14">
        <f t="shared" si="115"/>
        <v>0</v>
      </c>
      <c r="AB410" s="75">
        <v>0</v>
      </c>
      <c r="AC410" s="75">
        <v>0</v>
      </c>
      <c r="AD410" s="59">
        <f t="shared" si="116"/>
        <v>0</v>
      </c>
      <c r="AE410" s="73">
        <v>0</v>
      </c>
      <c r="AF410" s="73">
        <v>0</v>
      </c>
      <c r="AG410" s="15">
        <f t="shared" si="117"/>
        <v>0</v>
      </c>
      <c r="AH410" s="16">
        <f t="shared" si="118"/>
        <v>0</v>
      </c>
      <c r="AI410" s="17">
        <f t="shared" si="119"/>
        <v>15</v>
      </c>
      <c r="AJ410" s="12">
        <f>VLOOKUP(A410,'PreK Proxy - Sept. 2024'!$A$2:$I$674,9,FALSE)</f>
        <v>24</v>
      </c>
      <c r="AK410" s="18">
        <f t="shared" si="120"/>
        <v>0.625</v>
      </c>
    </row>
    <row r="411" spans="1:37" x14ac:dyDescent="0.35">
      <c r="A411" s="11" t="s">
        <v>830</v>
      </c>
      <c r="B411" s="12" t="s">
        <v>831</v>
      </c>
      <c r="C411" s="54" t="s">
        <v>1422</v>
      </c>
      <c r="D411" s="54" t="s">
        <v>366</v>
      </c>
      <c r="E411" s="66">
        <f t="shared" si="106"/>
        <v>16</v>
      </c>
      <c r="F411" s="13">
        <f t="shared" si="107"/>
        <v>16</v>
      </c>
      <c r="G411" s="67">
        <f t="shared" si="108"/>
        <v>0</v>
      </c>
      <c r="H411" s="64">
        <f t="shared" si="104"/>
        <v>16</v>
      </c>
      <c r="I411" s="80">
        <v>0</v>
      </c>
      <c r="J411" s="80">
        <v>0</v>
      </c>
      <c r="K411" s="59">
        <f t="shared" si="109"/>
        <v>0</v>
      </c>
      <c r="L411" s="59">
        <v>0</v>
      </c>
      <c r="M411" s="59">
        <v>16</v>
      </c>
      <c r="N411" s="59">
        <f t="shared" si="110"/>
        <v>16</v>
      </c>
      <c r="O411" s="15">
        <f t="shared" si="111"/>
        <v>0</v>
      </c>
      <c r="P411" s="87">
        <f t="shared" si="112"/>
        <v>0</v>
      </c>
      <c r="Q411" s="110">
        <v>0</v>
      </c>
      <c r="R411" s="59">
        <v>0</v>
      </c>
      <c r="S411" s="14">
        <v>0</v>
      </c>
      <c r="T411" s="59">
        <v>0</v>
      </c>
      <c r="U411" s="15">
        <f t="shared" si="105"/>
        <v>0</v>
      </c>
      <c r="V411" s="14">
        <v>0</v>
      </c>
      <c r="W411" s="15">
        <f t="shared" si="113"/>
        <v>0</v>
      </c>
      <c r="X411" s="14">
        <v>0</v>
      </c>
      <c r="Y411" s="75">
        <v>0</v>
      </c>
      <c r="Z411" s="87">
        <f t="shared" si="114"/>
        <v>0</v>
      </c>
      <c r="AA411" s="14">
        <f t="shared" si="115"/>
        <v>0</v>
      </c>
      <c r="AB411" s="75">
        <v>0</v>
      </c>
      <c r="AC411" s="75">
        <v>0</v>
      </c>
      <c r="AD411" s="59">
        <f t="shared" si="116"/>
        <v>0</v>
      </c>
      <c r="AE411" s="73">
        <v>0</v>
      </c>
      <c r="AF411" s="73">
        <v>0</v>
      </c>
      <c r="AG411" s="15">
        <f t="shared" si="117"/>
        <v>0</v>
      </c>
      <c r="AH411" s="16">
        <f t="shared" si="118"/>
        <v>0</v>
      </c>
      <c r="AI411" s="17">
        <f t="shared" si="119"/>
        <v>16</v>
      </c>
      <c r="AJ411" s="12">
        <f>VLOOKUP(A411,'PreK Proxy - Sept. 2024'!$A$2:$I$674,9,FALSE)</f>
        <v>18</v>
      </c>
      <c r="AK411" s="18">
        <f t="shared" si="120"/>
        <v>0.88888888888888884</v>
      </c>
    </row>
    <row r="412" spans="1:37" x14ac:dyDescent="0.35">
      <c r="A412" s="11" t="s">
        <v>832</v>
      </c>
      <c r="B412" s="12" t="s">
        <v>833</v>
      </c>
      <c r="C412" s="54" t="s">
        <v>1422</v>
      </c>
      <c r="D412" s="54" t="s">
        <v>366</v>
      </c>
      <c r="E412" s="66">
        <f t="shared" si="106"/>
        <v>12</v>
      </c>
      <c r="F412" s="13">
        <f t="shared" si="107"/>
        <v>12</v>
      </c>
      <c r="G412" s="67">
        <f t="shared" si="108"/>
        <v>0</v>
      </c>
      <c r="H412" s="64">
        <f t="shared" si="104"/>
        <v>12</v>
      </c>
      <c r="I412" s="80">
        <v>0</v>
      </c>
      <c r="J412" s="80">
        <v>0</v>
      </c>
      <c r="K412" s="59">
        <f t="shared" si="109"/>
        <v>0</v>
      </c>
      <c r="L412" s="59">
        <v>0</v>
      </c>
      <c r="M412" s="59">
        <v>12</v>
      </c>
      <c r="N412" s="59">
        <f t="shared" si="110"/>
        <v>12</v>
      </c>
      <c r="O412" s="15">
        <f t="shared" si="111"/>
        <v>0</v>
      </c>
      <c r="P412" s="87">
        <f t="shared" si="112"/>
        <v>0</v>
      </c>
      <c r="Q412" s="110">
        <v>0</v>
      </c>
      <c r="R412" s="59">
        <v>0</v>
      </c>
      <c r="S412" s="14">
        <v>0</v>
      </c>
      <c r="T412" s="59">
        <v>0</v>
      </c>
      <c r="U412" s="15">
        <f t="shared" si="105"/>
        <v>0</v>
      </c>
      <c r="V412" s="14">
        <v>0</v>
      </c>
      <c r="W412" s="15">
        <f t="shared" si="113"/>
        <v>0</v>
      </c>
      <c r="X412" s="14">
        <v>0</v>
      </c>
      <c r="Y412" s="75">
        <v>0</v>
      </c>
      <c r="Z412" s="87">
        <f t="shared" si="114"/>
        <v>0</v>
      </c>
      <c r="AA412" s="14">
        <f t="shared" si="115"/>
        <v>0</v>
      </c>
      <c r="AB412" s="75">
        <v>0</v>
      </c>
      <c r="AC412" s="75">
        <v>0</v>
      </c>
      <c r="AD412" s="59">
        <f t="shared" si="116"/>
        <v>0</v>
      </c>
      <c r="AE412" s="73">
        <v>0</v>
      </c>
      <c r="AF412" s="73">
        <v>0</v>
      </c>
      <c r="AG412" s="15">
        <f t="shared" si="117"/>
        <v>0</v>
      </c>
      <c r="AH412" s="16">
        <f t="shared" si="118"/>
        <v>0</v>
      </c>
      <c r="AI412" s="17">
        <f t="shared" si="119"/>
        <v>12</v>
      </c>
      <c r="AJ412" s="12">
        <f>VLOOKUP(A412,'PreK Proxy - Sept. 2024'!$A$2:$I$674,9,FALSE)</f>
        <v>13</v>
      </c>
      <c r="AK412" s="18">
        <f t="shared" si="120"/>
        <v>0.92307692307692313</v>
      </c>
    </row>
    <row r="413" spans="1:37" x14ac:dyDescent="0.35">
      <c r="A413" s="11" t="s">
        <v>834</v>
      </c>
      <c r="B413" s="12" t="s">
        <v>835</v>
      </c>
      <c r="C413" s="54" t="s">
        <v>1422</v>
      </c>
      <c r="D413" s="54" t="s">
        <v>366</v>
      </c>
      <c r="E413" s="66">
        <f t="shared" si="106"/>
        <v>15</v>
      </c>
      <c r="F413" s="13">
        <f t="shared" si="107"/>
        <v>15</v>
      </c>
      <c r="G413" s="67">
        <f t="shared" si="108"/>
        <v>0</v>
      </c>
      <c r="H413" s="64">
        <f t="shared" si="104"/>
        <v>15</v>
      </c>
      <c r="I413" s="80">
        <v>0</v>
      </c>
      <c r="J413" s="80">
        <v>0</v>
      </c>
      <c r="K413" s="59">
        <f t="shared" si="109"/>
        <v>0</v>
      </c>
      <c r="L413" s="59">
        <v>0</v>
      </c>
      <c r="M413" s="59">
        <v>15</v>
      </c>
      <c r="N413" s="59">
        <f t="shared" si="110"/>
        <v>15</v>
      </c>
      <c r="O413" s="15">
        <f t="shared" si="111"/>
        <v>0</v>
      </c>
      <c r="P413" s="87">
        <f t="shared" si="112"/>
        <v>0</v>
      </c>
      <c r="Q413" s="110">
        <v>0</v>
      </c>
      <c r="R413" s="59">
        <v>0</v>
      </c>
      <c r="S413" s="14">
        <v>0</v>
      </c>
      <c r="T413" s="59">
        <v>0</v>
      </c>
      <c r="U413" s="15">
        <f t="shared" si="105"/>
        <v>0</v>
      </c>
      <c r="V413" s="14">
        <v>0</v>
      </c>
      <c r="W413" s="15">
        <f t="shared" si="113"/>
        <v>0</v>
      </c>
      <c r="X413" s="14">
        <v>0</v>
      </c>
      <c r="Y413" s="75">
        <v>0</v>
      </c>
      <c r="Z413" s="87">
        <f t="shared" si="114"/>
        <v>0</v>
      </c>
      <c r="AA413" s="14">
        <f t="shared" si="115"/>
        <v>0</v>
      </c>
      <c r="AB413" s="75">
        <v>0</v>
      </c>
      <c r="AC413" s="75">
        <v>0</v>
      </c>
      <c r="AD413" s="59">
        <f t="shared" si="116"/>
        <v>0</v>
      </c>
      <c r="AE413" s="73">
        <v>0</v>
      </c>
      <c r="AF413" s="73">
        <v>0</v>
      </c>
      <c r="AG413" s="15">
        <f t="shared" si="117"/>
        <v>0</v>
      </c>
      <c r="AH413" s="16">
        <f t="shared" si="118"/>
        <v>0</v>
      </c>
      <c r="AI413" s="17">
        <f t="shared" si="119"/>
        <v>15</v>
      </c>
      <c r="AJ413" s="12">
        <f>VLOOKUP(A413,'PreK Proxy - Sept. 2024'!$A$2:$I$674,9,FALSE)</f>
        <v>13</v>
      </c>
      <c r="AK413" s="18">
        <f t="shared" si="120"/>
        <v>1</v>
      </c>
    </row>
    <row r="414" spans="1:37" x14ac:dyDescent="0.35">
      <c r="A414" s="11" t="s">
        <v>836</v>
      </c>
      <c r="B414" s="12" t="s">
        <v>837</v>
      </c>
      <c r="C414" s="54" t="s">
        <v>1422</v>
      </c>
      <c r="D414" s="54" t="s">
        <v>366</v>
      </c>
      <c r="E414" s="66">
        <f t="shared" si="106"/>
        <v>86</v>
      </c>
      <c r="F414" s="13">
        <f t="shared" si="107"/>
        <v>0</v>
      </c>
      <c r="G414" s="67">
        <f t="shared" si="108"/>
        <v>86</v>
      </c>
      <c r="H414" s="64">
        <f t="shared" si="104"/>
        <v>86</v>
      </c>
      <c r="I414" s="80">
        <v>0</v>
      </c>
      <c r="J414" s="80">
        <v>86</v>
      </c>
      <c r="K414" s="59">
        <f t="shared" si="109"/>
        <v>86</v>
      </c>
      <c r="L414" s="59">
        <v>0</v>
      </c>
      <c r="M414" s="59">
        <v>0</v>
      </c>
      <c r="N414" s="59">
        <f t="shared" si="110"/>
        <v>0</v>
      </c>
      <c r="O414" s="15">
        <f t="shared" si="111"/>
        <v>0</v>
      </c>
      <c r="P414" s="87">
        <f t="shared" si="112"/>
        <v>0</v>
      </c>
      <c r="Q414" s="110">
        <v>0</v>
      </c>
      <c r="R414" s="59">
        <v>0</v>
      </c>
      <c r="S414" s="14">
        <v>0</v>
      </c>
      <c r="T414" s="59">
        <v>0</v>
      </c>
      <c r="U414" s="15">
        <f t="shared" si="105"/>
        <v>0</v>
      </c>
      <c r="V414" s="14">
        <v>0</v>
      </c>
      <c r="W414" s="15">
        <f t="shared" si="113"/>
        <v>0</v>
      </c>
      <c r="X414" s="14">
        <v>0</v>
      </c>
      <c r="Y414" s="75">
        <v>0</v>
      </c>
      <c r="Z414" s="87">
        <f t="shared" si="114"/>
        <v>0</v>
      </c>
      <c r="AA414" s="14">
        <f t="shared" si="115"/>
        <v>0</v>
      </c>
      <c r="AB414" s="75">
        <v>0</v>
      </c>
      <c r="AC414" s="75">
        <v>0</v>
      </c>
      <c r="AD414" s="59">
        <f t="shared" si="116"/>
        <v>0</v>
      </c>
      <c r="AE414" s="73">
        <v>0</v>
      </c>
      <c r="AF414" s="73">
        <v>0</v>
      </c>
      <c r="AG414" s="15">
        <f t="shared" si="117"/>
        <v>0</v>
      </c>
      <c r="AH414" s="16">
        <f t="shared" si="118"/>
        <v>86</v>
      </c>
      <c r="AI414" s="17">
        <f t="shared" si="119"/>
        <v>0</v>
      </c>
      <c r="AJ414" s="12">
        <f>VLOOKUP(A414,'PreK Proxy - Sept. 2024'!$A$2:$I$674,9,FALSE)</f>
        <v>96</v>
      </c>
      <c r="AK414" s="18">
        <f t="shared" si="120"/>
        <v>0.89583333333333337</v>
      </c>
    </row>
    <row r="415" spans="1:37" x14ac:dyDescent="0.35">
      <c r="A415" s="11" t="s">
        <v>838</v>
      </c>
      <c r="B415" s="12" t="s">
        <v>839</v>
      </c>
      <c r="C415" s="54" t="s">
        <v>1422</v>
      </c>
      <c r="D415" s="54" t="s">
        <v>366</v>
      </c>
      <c r="E415" s="66">
        <f t="shared" si="106"/>
        <v>40</v>
      </c>
      <c r="F415" s="13">
        <f t="shared" si="107"/>
        <v>40</v>
      </c>
      <c r="G415" s="67">
        <f t="shared" si="108"/>
        <v>0</v>
      </c>
      <c r="H415" s="64">
        <f t="shared" si="104"/>
        <v>20</v>
      </c>
      <c r="I415" s="80">
        <v>0</v>
      </c>
      <c r="J415" s="80">
        <v>0</v>
      </c>
      <c r="K415" s="59">
        <f t="shared" si="109"/>
        <v>0</v>
      </c>
      <c r="L415" s="59">
        <v>0</v>
      </c>
      <c r="M415" s="59">
        <v>20</v>
      </c>
      <c r="N415" s="59">
        <f t="shared" si="110"/>
        <v>20</v>
      </c>
      <c r="O415" s="15">
        <f t="shared" si="111"/>
        <v>0</v>
      </c>
      <c r="P415" s="87">
        <f t="shared" si="112"/>
        <v>20</v>
      </c>
      <c r="Q415" s="110">
        <v>0</v>
      </c>
      <c r="R415" s="59">
        <v>20</v>
      </c>
      <c r="S415" s="14">
        <v>0</v>
      </c>
      <c r="T415" s="59">
        <v>0</v>
      </c>
      <c r="U415" s="15">
        <f t="shared" si="105"/>
        <v>0</v>
      </c>
      <c r="V415" s="14">
        <v>0</v>
      </c>
      <c r="W415" s="15">
        <f t="shared" si="113"/>
        <v>0</v>
      </c>
      <c r="X415" s="14">
        <v>0</v>
      </c>
      <c r="Y415" s="75">
        <v>0</v>
      </c>
      <c r="Z415" s="87">
        <f t="shared" si="114"/>
        <v>0</v>
      </c>
      <c r="AA415" s="14">
        <f t="shared" si="115"/>
        <v>0</v>
      </c>
      <c r="AB415" s="75">
        <v>0</v>
      </c>
      <c r="AC415" s="75">
        <v>0</v>
      </c>
      <c r="AD415" s="59">
        <f t="shared" si="116"/>
        <v>0</v>
      </c>
      <c r="AE415" s="73">
        <v>0</v>
      </c>
      <c r="AF415" s="73">
        <v>0</v>
      </c>
      <c r="AG415" s="15">
        <f t="shared" si="117"/>
        <v>0</v>
      </c>
      <c r="AH415" s="16">
        <f t="shared" si="118"/>
        <v>0</v>
      </c>
      <c r="AI415" s="17">
        <f t="shared" si="119"/>
        <v>40</v>
      </c>
      <c r="AJ415" s="12">
        <f>VLOOKUP(A415,'PreK Proxy - Sept. 2024'!$A$2:$I$674,9,FALSE)</f>
        <v>56</v>
      </c>
      <c r="AK415" s="18">
        <f t="shared" si="120"/>
        <v>0.7142857142857143</v>
      </c>
    </row>
    <row r="416" spans="1:37" x14ac:dyDescent="0.35">
      <c r="A416" s="11" t="s">
        <v>840</v>
      </c>
      <c r="B416" s="12" t="s">
        <v>841</v>
      </c>
      <c r="C416" s="54" t="s">
        <v>1422</v>
      </c>
      <c r="D416" s="54" t="s">
        <v>366</v>
      </c>
      <c r="E416" s="66">
        <f t="shared" si="106"/>
        <v>0</v>
      </c>
      <c r="F416" s="13">
        <f t="shared" si="107"/>
        <v>0</v>
      </c>
      <c r="G416" s="67">
        <f t="shared" si="108"/>
        <v>0</v>
      </c>
      <c r="H416" s="64">
        <f t="shared" si="104"/>
        <v>0</v>
      </c>
      <c r="I416" s="80">
        <v>0</v>
      </c>
      <c r="J416" s="80">
        <v>0</v>
      </c>
      <c r="K416" s="59">
        <f t="shared" si="109"/>
        <v>0</v>
      </c>
      <c r="L416" s="59">
        <v>0</v>
      </c>
      <c r="M416" s="59">
        <v>0</v>
      </c>
      <c r="N416" s="59">
        <f t="shared" si="110"/>
        <v>0</v>
      </c>
      <c r="O416" s="15">
        <f t="shared" si="111"/>
        <v>0</v>
      </c>
      <c r="P416" s="87">
        <f t="shared" si="112"/>
        <v>0</v>
      </c>
      <c r="Q416" s="110">
        <v>0</v>
      </c>
      <c r="R416" s="59">
        <v>0</v>
      </c>
      <c r="S416" s="14">
        <v>0</v>
      </c>
      <c r="T416" s="59">
        <v>0</v>
      </c>
      <c r="U416" s="15">
        <f t="shared" si="105"/>
        <v>0</v>
      </c>
      <c r="V416" s="14">
        <v>0</v>
      </c>
      <c r="W416" s="15">
        <f t="shared" si="113"/>
        <v>0</v>
      </c>
      <c r="X416" s="14">
        <v>0</v>
      </c>
      <c r="Y416" s="75">
        <v>0</v>
      </c>
      <c r="Z416" s="87">
        <f t="shared" si="114"/>
        <v>0</v>
      </c>
      <c r="AA416" s="14">
        <f t="shared" si="115"/>
        <v>0</v>
      </c>
      <c r="AB416" s="75">
        <v>0</v>
      </c>
      <c r="AC416" s="75">
        <v>0</v>
      </c>
      <c r="AD416" s="59">
        <f t="shared" si="116"/>
        <v>0</v>
      </c>
      <c r="AE416" s="73">
        <v>0</v>
      </c>
      <c r="AF416" s="73">
        <v>0</v>
      </c>
      <c r="AG416" s="15">
        <f t="shared" si="117"/>
        <v>0</v>
      </c>
      <c r="AH416" s="16">
        <f t="shared" si="118"/>
        <v>0</v>
      </c>
      <c r="AI416" s="17">
        <f t="shared" si="119"/>
        <v>0</v>
      </c>
      <c r="AJ416" s="12">
        <f>VLOOKUP(A416,'PreK Proxy - Sept. 2024'!$A$2:$I$674,9,FALSE)</f>
        <v>32</v>
      </c>
      <c r="AK416" s="18">
        <f t="shared" si="120"/>
        <v>0</v>
      </c>
    </row>
    <row r="417" spans="1:37" x14ac:dyDescent="0.35">
      <c r="A417" s="11" t="s">
        <v>842</v>
      </c>
      <c r="B417" s="12" t="s">
        <v>843</v>
      </c>
      <c r="C417" s="54" t="s">
        <v>1422</v>
      </c>
      <c r="D417" s="54" t="s">
        <v>366</v>
      </c>
      <c r="E417" s="66">
        <f t="shared" si="106"/>
        <v>22</v>
      </c>
      <c r="F417" s="13">
        <f t="shared" si="107"/>
        <v>0</v>
      </c>
      <c r="G417" s="67">
        <f t="shared" si="108"/>
        <v>22</v>
      </c>
      <c r="H417" s="64">
        <f t="shared" si="104"/>
        <v>22</v>
      </c>
      <c r="I417" s="80">
        <v>0</v>
      </c>
      <c r="J417" s="80">
        <v>22</v>
      </c>
      <c r="K417" s="59">
        <f t="shared" si="109"/>
        <v>22</v>
      </c>
      <c r="L417" s="59">
        <v>0</v>
      </c>
      <c r="M417" s="59">
        <v>0</v>
      </c>
      <c r="N417" s="59">
        <f t="shared" si="110"/>
        <v>0</v>
      </c>
      <c r="O417" s="15">
        <f t="shared" si="111"/>
        <v>0</v>
      </c>
      <c r="P417" s="87">
        <f t="shared" si="112"/>
        <v>0</v>
      </c>
      <c r="Q417" s="110">
        <v>0</v>
      </c>
      <c r="R417" s="59">
        <v>0</v>
      </c>
      <c r="S417" s="14">
        <v>0</v>
      </c>
      <c r="T417" s="59">
        <v>0</v>
      </c>
      <c r="U417" s="15">
        <f t="shared" si="105"/>
        <v>0</v>
      </c>
      <c r="V417" s="14">
        <v>0</v>
      </c>
      <c r="W417" s="15">
        <f t="shared" si="113"/>
        <v>0</v>
      </c>
      <c r="X417" s="14">
        <v>0</v>
      </c>
      <c r="Y417" s="75">
        <v>0</v>
      </c>
      <c r="Z417" s="87">
        <f t="shared" si="114"/>
        <v>0</v>
      </c>
      <c r="AA417" s="14">
        <f t="shared" si="115"/>
        <v>0</v>
      </c>
      <c r="AB417" s="75">
        <v>0</v>
      </c>
      <c r="AC417" s="75">
        <v>0</v>
      </c>
      <c r="AD417" s="59">
        <f t="shared" si="116"/>
        <v>0</v>
      </c>
      <c r="AE417" s="73">
        <v>0</v>
      </c>
      <c r="AF417" s="73">
        <v>0</v>
      </c>
      <c r="AG417" s="15">
        <f t="shared" si="117"/>
        <v>0</v>
      </c>
      <c r="AH417" s="16">
        <f t="shared" si="118"/>
        <v>22</v>
      </c>
      <c r="AI417" s="17">
        <f t="shared" si="119"/>
        <v>0</v>
      </c>
      <c r="AJ417" s="12">
        <f>VLOOKUP(A417,'PreK Proxy - Sept. 2024'!$A$2:$I$674,9,FALSE)</f>
        <v>22</v>
      </c>
      <c r="AK417" s="18">
        <f t="shared" si="120"/>
        <v>1</v>
      </c>
    </row>
    <row r="418" spans="1:37" x14ac:dyDescent="0.35">
      <c r="A418" s="11" t="s">
        <v>844</v>
      </c>
      <c r="B418" s="12" t="s">
        <v>845</v>
      </c>
      <c r="C418" s="54" t="s">
        <v>1422</v>
      </c>
      <c r="D418" s="54" t="s">
        <v>366</v>
      </c>
      <c r="E418" s="66">
        <f t="shared" si="106"/>
        <v>30</v>
      </c>
      <c r="F418" s="13">
        <f t="shared" si="107"/>
        <v>30</v>
      </c>
      <c r="G418" s="67">
        <f t="shared" si="108"/>
        <v>0</v>
      </c>
      <c r="H418" s="64">
        <f t="shared" si="104"/>
        <v>30</v>
      </c>
      <c r="I418" s="80">
        <v>0</v>
      </c>
      <c r="J418" s="80">
        <v>0</v>
      </c>
      <c r="K418" s="59">
        <f t="shared" si="109"/>
        <v>0</v>
      </c>
      <c r="L418" s="59">
        <v>0</v>
      </c>
      <c r="M418" s="59">
        <v>30</v>
      </c>
      <c r="N418" s="59">
        <f t="shared" si="110"/>
        <v>30</v>
      </c>
      <c r="O418" s="15">
        <f t="shared" si="111"/>
        <v>0</v>
      </c>
      <c r="P418" s="87">
        <f t="shared" si="112"/>
        <v>0</v>
      </c>
      <c r="Q418" s="110">
        <v>0</v>
      </c>
      <c r="R418" s="59">
        <v>0</v>
      </c>
      <c r="S418" s="14">
        <v>0</v>
      </c>
      <c r="T418" s="59">
        <v>0</v>
      </c>
      <c r="U418" s="15">
        <f t="shared" si="105"/>
        <v>0</v>
      </c>
      <c r="V418" s="14">
        <v>0</v>
      </c>
      <c r="W418" s="15">
        <f t="shared" si="113"/>
        <v>0</v>
      </c>
      <c r="X418" s="14">
        <v>0</v>
      </c>
      <c r="Y418" s="75">
        <v>0</v>
      </c>
      <c r="Z418" s="87">
        <f t="shared" si="114"/>
        <v>0</v>
      </c>
      <c r="AA418" s="14">
        <f t="shared" si="115"/>
        <v>0</v>
      </c>
      <c r="AB418" s="75">
        <v>0</v>
      </c>
      <c r="AC418" s="75">
        <v>0</v>
      </c>
      <c r="AD418" s="59">
        <f t="shared" si="116"/>
        <v>0</v>
      </c>
      <c r="AE418" s="73">
        <v>0</v>
      </c>
      <c r="AF418" s="73">
        <v>0</v>
      </c>
      <c r="AG418" s="15">
        <f t="shared" si="117"/>
        <v>0</v>
      </c>
      <c r="AH418" s="16">
        <f t="shared" si="118"/>
        <v>0</v>
      </c>
      <c r="AI418" s="17">
        <f t="shared" si="119"/>
        <v>30</v>
      </c>
      <c r="AJ418" s="12">
        <f>VLOOKUP(A418,'PreK Proxy - Sept. 2024'!$A$2:$I$674,9,FALSE)</f>
        <v>34</v>
      </c>
      <c r="AK418" s="18">
        <f t="shared" si="120"/>
        <v>0.88235294117647056</v>
      </c>
    </row>
    <row r="419" spans="1:37" x14ac:dyDescent="0.35">
      <c r="A419" s="11" t="s">
        <v>846</v>
      </c>
      <c r="B419" s="12" t="s">
        <v>847</v>
      </c>
      <c r="C419" s="54" t="s">
        <v>1422</v>
      </c>
      <c r="D419" s="54" t="s">
        <v>366</v>
      </c>
      <c r="E419" s="66">
        <f t="shared" si="106"/>
        <v>17</v>
      </c>
      <c r="F419" s="13">
        <f t="shared" si="107"/>
        <v>17</v>
      </c>
      <c r="G419" s="67">
        <f t="shared" si="108"/>
        <v>0</v>
      </c>
      <c r="H419" s="64">
        <f t="shared" si="104"/>
        <v>17</v>
      </c>
      <c r="I419" s="80">
        <v>0</v>
      </c>
      <c r="J419" s="80">
        <v>0</v>
      </c>
      <c r="K419" s="59">
        <f t="shared" si="109"/>
        <v>0</v>
      </c>
      <c r="L419" s="59">
        <v>0</v>
      </c>
      <c r="M419" s="59">
        <v>17</v>
      </c>
      <c r="N419" s="59">
        <f t="shared" si="110"/>
        <v>17</v>
      </c>
      <c r="O419" s="15">
        <f t="shared" si="111"/>
        <v>0</v>
      </c>
      <c r="P419" s="87">
        <f t="shared" si="112"/>
        <v>0</v>
      </c>
      <c r="Q419" s="110">
        <v>0</v>
      </c>
      <c r="R419" s="59">
        <v>0</v>
      </c>
      <c r="S419" s="14">
        <v>0</v>
      </c>
      <c r="T419" s="59">
        <v>0</v>
      </c>
      <c r="U419" s="15">
        <f t="shared" si="105"/>
        <v>0</v>
      </c>
      <c r="V419" s="14">
        <v>0</v>
      </c>
      <c r="W419" s="15">
        <f t="shared" si="113"/>
        <v>0</v>
      </c>
      <c r="X419" s="14">
        <v>0</v>
      </c>
      <c r="Y419" s="75">
        <v>0</v>
      </c>
      <c r="Z419" s="87">
        <f t="shared" si="114"/>
        <v>0</v>
      </c>
      <c r="AA419" s="14">
        <f t="shared" si="115"/>
        <v>0</v>
      </c>
      <c r="AB419" s="75">
        <v>0</v>
      </c>
      <c r="AC419" s="75">
        <v>0</v>
      </c>
      <c r="AD419" s="59">
        <f t="shared" si="116"/>
        <v>0</v>
      </c>
      <c r="AE419" s="73">
        <v>0</v>
      </c>
      <c r="AF419" s="73">
        <v>0</v>
      </c>
      <c r="AG419" s="15">
        <f t="shared" si="117"/>
        <v>0</v>
      </c>
      <c r="AH419" s="16">
        <f t="shared" si="118"/>
        <v>0</v>
      </c>
      <c r="AI419" s="17">
        <f t="shared" si="119"/>
        <v>17</v>
      </c>
      <c r="AJ419" s="12">
        <f>VLOOKUP(A419,'PreK Proxy - Sept. 2024'!$A$2:$I$674,9,FALSE)</f>
        <v>22</v>
      </c>
      <c r="AK419" s="18">
        <f t="shared" si="120"/>
        <v>0.77272727272727271</v>
      </c>
    </row>
    <row r="420" spans="1:37" x14ac:dyDescent="0.35">
      <c r="A420" s="11" t="s">
        <v>848</v>
      </c>
      <c r="B420" s="12" t="s">
        <v>849</v>
      </c>
      <c r="C420" s="54" t="s">
        <v>1386</v>
      </c>
      <c r="D420" s="54" t="s">
        <v>251</v>
      </c>
      <c r="E420" s="66">
        <f t="shared" si="106"/>
        <v>0</v>
      </c>
      <c r="F420" s="13">
        <f t="shared" si="107"/>
        <v>0</v>
      </c>
      <c r="G420" s="67">
        <f t="shared" si="108"/>
        <v>0</v>
      </c>
      <c r="H420" s="64">
        <f t="shared" si="104"/>
        <v>0</v>
      </c>
      <c r="I420" s="80">
        <v>0</v>
      </c>
      <c r="J420" s="80">
        <v>0</v>
      </c>
      <c r="K420" s="59">
        <f t="shared" si="109"/>
        <v>0</v>
      </c>
      <c r="L420" s="59">
        <v>0</v>
      </c>
      <c r="M420" s="59">
        <v>0</v>
      </c>
      <c r="N420" s="59">
        <f t="shared" si="110"/>
        <v>0</v>
      </c>
      <c r="O420" s="15">
        <f t="shared" si="111"/>
        <v>0</v>
      </c>
      <c r="P420" s="87">
        <f t="shared" si="112"/>
        <v>0</v>
      </c>
      <c r="Q420" s="110">
        <v>0</v>
      </c>
      <c r="R420" s="59">
        <v>0</v>
      </c>
      <c r="S420" s="14">
        <v>0</v>
      </c>
      <c r="T420" s="59">
        <v>0</v>
      </c>
      <c r="U420" s="15">
        <f t="shared" si="105"/>
        <v>0</v>
      </c>
      <c r="V420" s="14">
        <v>0</v>
      </c>
      <c r="W420" s="15">
        <f t="shared" si="113"/>
        <v>0</v>
      </c>
      <c r="X420" s="14">
        <v>0</v>
      </c>
      <c r="Y420" s="75">
        <v>0</v>
      </c>
      <c r="Z420" s="87">
        <f t="shared" si="114"/>
        <v>0</v>
      </c>
      <c r="AA420" s="14">
        <f t="shared" si="115"/>
        <v>0</v>
      </c>
      <c r="AB420" s="75">
        <v>0</v>
      </c>
      <c r="AC420" s="75">
        <v>0</v>
      </c>
      <c r="AD420" s="59">
        <f t="shared" si="116"/>
        <v>0</v>
      </c>
      <c r="AE420" s="73">
        <v>0</v>
      </c>
      <c r="AF420" s="73">
        <v>0</v>
      </c>
      <c r="AG420" s="15">
        <f t="shared" si="117"/>
        <v>0</v>
      </c>
      <c r="AH420" s="16">
        <f t="shared" si="118"/>
        <v>0</v>
      </c>
      <c r="AI420" s="17">
        <f t="shared" si="119"/>
        <v>0</v>
      </c>
      <c r="AJ420" s="12">
        <f>VLOOKUP(A420,'PreK Proxy - Sept. 2024'!$A$2:$I$674,9,FALSE)</f>
        <v>179</v>
      </c>
      <c r="AK420" s="18">
        <f t="shared" si="120"/>
        <v>0</v>
      </c>
    </row>
    <row r="421" spans="1:37" x14ac:dyDescent="0.35">
      <c r="A421" s="11" t="s">
        <v>850</v>
      </c>
      <c r="B421" s="12" t="s">
        <v>851</v>
      </c>
      <c r="C421" s="54" t="s">
        <v>1386</v>
      </c>
      <c r="D421" s="54" t="s">
        <v>251</v>
      </c>
      <c r="E421" s="66">
        <f t="shared" si="106"/>
        <v>0</v>
      </c>
      <c r="F421" s="13">
        <f t="shared" si="107"/>
        <v>0</v>
      </c>
      <c r="G421" s="67">
        <f t="shared" si="108"/>
        <v>0</v>
      </c>
      <c r="H421" s="64">
        <f t="shared" si="104"/>
        <v>0</v>
      </c>
      <c r="I421" s="80">
        <v>0</v>
      </c>
      <c r="J421" s="80">
        <v>0</v>
      </c>
      <c r="K421" s="59">
        <f t="shared" si="109"/>
        <v>0</v>
      </c>
      <c r="L421" s="59">
        <v>0</v>
      </c>
      <c r="M421" s="59">
        <v>0</v>
      </c>
      <c r="N421" s="59">
        <f t="shared" si="110"/>
        <v>0</v>
      </c>
      <c r="O421" s="15">
        <f t="shared" si="111"/>
        <v>0</v>
      </c>
      <c r="P421" s="87">
        <f t="shared" si="112"/>
        <v>0</v>
      </c>
      <c r="Q421" s="110">
        <v>0</v>
      </c>
      <c r="R421" s="59">
        <v>0</v>
      </c>
      <c r="S421" s="14">
        <v>0</v>
      </c>
      <c r="T421" s="59">
        <v>0</v>
      </c>
      <c r="U421" s="15">
        <f t="shared" si="105"/>
        <v>0</v>
      </c>
      <c r="V421" s="14">
        <v>0</v>
      </c>
      <c r="W421" s="15">
        <f t="shared" si="113"/>
        <v>0</v>
      </c>
      <c r="X421" s="14">
        <v>0</v>
      </c>
      <c r="Y421" s="75">
        <v>0</v>
      </c>
      <c r="Z421" s="87">
        <f t="shared" si="114"/>
        <v>0</v>
      </c>
      <c r="AA421" s="14">
        <f t="shared" si="115"/>
        <v>0</v>
      </c>
      <c r="AB421" s="75">
        <v>0</v>
      </c>
      <c r="AC421" s="75">
        <v>0</v>
      </c>
      <c r="AD421" s="59">
        <f t="shared" si="116"/>
        <v>0</v>
      </c>
      <c r="AE421" s="73">
        <v>0</v>
      </c>
      <c r="AF421" s="73">
        <v>0</v>
      </c>
      <c r="AG421" s="15">
        <f t="shared" si="117"/>
        <v>0</v>
      </c>
      <c r="AH421" s="16">
        <f t="shared" si="118"/>
        <v>0</v>
      </c>
      <c r="AI421" s="17">
        <f t="shared" si="119"/>
        <v>0</v>
      </c>
      <c r="AJ421" s="12">
        <f>VLOOKUP(A421,'PreK Proxy - Sept. 2024'!$A$2:$I$674,9,FALSE)</f>
        <v>217</v>
      </c>
      <c r="AK421" s="18">
        <f t="shared" si="120"/>
        <v>0</v>
      </c>
    </row>
    <row r="422" spans="1:37" x14ac:dyDescent="0.35">
      <c r="A422" s="11" t="s">
        <v>852</v>
      </c>
      <c r="B422" s="12" t="s">
        <v>853</v>
      </c>
      <c r="C422" s="54" t="s">
        <v>1386</v>
      </c>
      <c r="D422" s="54" t="s">
        <v>251</v>
      </c>
      <c r="E422" s="66">
        <f t="shared" si="106"/>
        <v>0</v>
      </c>
      <c r="F422" s="13">
        <f t="shared" si="107"/>
        <v>0</v>
      </c>
      <c r="G422" s="67">
        <f t="shared" si="108"/>
        <v>0</v>
      </c>
      <c r="H422" s="64">
        <f t="shared" si="104"/>
        <v>0</v>
      </c>
      <c r="I422" s="80">
        <v>0</v>
      </c>
      <c r="J422" s="80">
        <v>0</v>
      </c>
      <c r="K422" s="59">
        <f t="shared" si="109"/>
        <v>0</v>
      </c>
      <c r="L422" s="59">
        <v>0</v>
      </c>
      <c r="M422" s="59">
        <v>0</v>
      </c>
      <c r="N422" s="59">
        <f t="shared" si="110"/>
        <v>0</v>
      </c>
      <c r="O422" s="15">
        <f t="shared" si="111"/>
        <v>0</v>
      </c>
      <c r="P422" s="87">
        <f t="shared" si="112"/>
        <v>0</v>
      </c>
      <c r="Q422" s="110">
        <v>0</v>
      </c>
      <c r="R422" s="59">
        <v>0</v>
      </c>
      <c r="S422" s="14">
        <v>0</v>
      </c>
      <c r="T422" s="59">
        <v>0</v>
      </c>
      <c r="U422" s="15">
        <f t="shared" si="105"/>
        <v>0</v>
      </c>
      <c r="V422" s="14">
        <v>0</v>
      </c>
      <c r="W422" s="15">
        <f t="shared" si="113"/>
        <v>0</v>
      </c>
      <c r="X422" s="14">
        <v>0</v>
      </c>
      <c r="Y422" s="75">
        <v>0</v>
      </c>
      <c r="Z422" s="87">
        <f t="shared" si="114"/>
        <v>0</v>
      </c>
      <c r="AA422" s="14">
        <f t="shared" si="115"/>
        <v>0</v>
      </c>
      <c r="AB422" s="75">
        <v>0</v>
      </c>
      <c r="AC422" s="75">
        <v>0</v>
      </c>
      <c r="AD422" s="59">
        <f t="shared" si="116"/>
        <v>0</v>
      </c>
      <c r="AE422" s="73">
        <v>0</v>
      </c>
      <c r="AF422" s="73">
        <v>0</v>
      </c>
      <c r="AG422" s="15">
        <f t="shared" si="117"/>
        <v>0</v>
      </c>
      <c r="AH422" s="16">
        <f t="shared" si="118"/>
        <v>0</v>
      </c>
      <c r="AI422" s="17">
        <f t="shared" si="119"/>
        <v>0</v>
      </c>
      <c r="AJ422" s="12">
        <f>VLOOKUP(A422,'PreK Proxy - Sept. 2024'!$A$2:$I$674,9,FALSE)</f>
        <v>48</v>
      </c>
      <c r="AK422" s="18">
        <f t="shared" si="120"/>
        <v>0</v>
      </c>
    </row>
    <row r="423" spans="1:37" x14ac:dyDescent="0.35">
      <c r="A423" s="11" t="s">
        <v>854</v>
      </c>
      <c r="B423" s="12" t="s">
        <v>855</v>
      </c>
      <c r="C423" s="54" t="s">
        <v>1386</v>
      </c>
      <c r="D423" s="54" t="s">
        <v>251</v>
      </c>
      <c r="E423" s="66">
        <f t="shared" si="106"/>
        <v>16</v>
      </c>
      <c r="F423" s="13">
        <f t="shared" si="107"/>
        <v>16</v>
      </c>
      <c r="G423" s="67">
        <f t="shared" si="108"/>
        <v>0</v>
      </c>
      <c r="H423" s="64">
        <f t="shared" si="104"/>
        <v>16</v>
      </c>
      <c r="I423" s="80">
        <v>0</v>
      </c>
      <c r="J423" s="80">
        <v>0</v>
      </c>
      <c r="K423" s="59">
        <f t="shared" si="109"/>
        <v>0</v>
      </c>
      <c r="L423" s="59">
        <v>0</v>
      </c>
      <c r="M423" s="59">
        <v>16</v>
      </c>
      <c r="N423" s="59">
        <f t="shared" si="110"/>
        <v>16</v>
      </c>
      <c r="O423" s="15">
        <f t="shared" si="111"/>
        <v>0</v>
      </c>
      <c r="P423" s="87">
        <f t="shared" si="112"/>
        <v>0</v>
      </c>
      <c r="Q423" s="110">
        <v>0</v>
      </c>
      <c r="R423" s="59">
        <v>0</v>
      </c>
      <c r="S423" s="14">
        <v>0</v>
      </c>
      <c r="T423" s="59">
        <v>0</v>
      </c>
      <c r="U423" s="15">
        <f t="shared" si="105"/>
        <v>0</v>
      </c>
      <c r="V423" s="14">
        <v>0</v>
      </c>
      <c r="W423" s="15">
        <f t="shared" si="113"/>
        <v>0</v>
      </c>
      <c r="X423" s="14">
        <v>0</v>
      </c>
      <c r="Y423" s="75">
        <v>0</v>
      </c>
      <c r="Z423" s="87">
        <f t="shared" si="114"/>
        <v>0</v>
      </c>
      <c r="AA423" s="14">
        <f t="shared" si="115"/>
        <v>0</v>
      </c>
      <c r="AB423" s="75">
        <v>0</v>
      </c>
      <c r="AC423" s="75">
        <v>0</v>
      </c>
      <c r="AD423" s="59">
        <f t="shared" si="116"/>
        <v>0</v>
      </c>
      <c r="AE423" s="73">
        <v>0</v>
      </c>
      <c r="AF423" s="73">
        <v>0</v>
      </c>
      <c r="AG423" s="15">
        <f t="shared" si="117"/>
        <v>0</v>
      </c>
      <c r="AH423" s="16">
        <f t="shared" si="118"/>
        <v>0</v>
      </c>
      <c r="AI423" s="17">
        <f t="shared" si="119"/>
        <v>16</v>
      </c>
      <c r="AJ423" s="12">
        <f>VLOOKUP(A423,'PreK Proxy - Sept. 2024'!$A$2:$I$674,9,FALSE)</f>
        <v>27</v>
      </c>
      <c r="AK423" s="18">
        <f t="shared" si="120"/>
        <v>0.59259259259259256</v>
      </c>
    </row>
    <row r="424" spans="1:37" x14ac:dyDescent="0.35">
      <c r="A424" s="11" t="s">
        <v>856</v>
      </c>
      <c r="B424" s="12" t="s">
        <v>857</v>
      </c>
      <c r="C424" s="54" t="s">
        <v>1386</v>
      </c>
      <c r="D424" s="54" t="s">
        <v>251</v>
      </c>
      <c r="E424" s="66">
        <f t="shared" si="106"/>
        <v>0</v>
      </c>
      <c r="F424" s="13">
        <f t="shared" si="107"/>
        <v>0</v>
      </c>
      <c r="G424" s="67">
        <f t="shared" si="108"/>
        <v>0</v>
      </c>
      <c r="H424" s="64">
        <f t="shared" si="104"/>
        <v>0</v>
      </c>
      <c r="I424" s="80">
        <v>0</v>
      </c>
      <c r="J424" s="80">
        <v>0</v>
      </c>
      <c r="K424" s="59">
        <f t="shared" si="109"/>
        <v>0</v>
      </c>
      <c r="L424" s="59">
        <v>0</v>
      </c>
      <c r="M424" s="59">
        <v>0</v>
      </c>
      <c r="N424" s="59">
        <f t="shared" si="110"/>
        <v>0</v>
      </c>
      <c r="O424" s="15">
        <f t="shared" si="111"/>
        <v>0</v>
      </c>
      <c r="P424" s="87">
        <f t="shared" si="112"/>
        <v>0</v>
      </c>
      <c r="Q424" s="110">
        <v>0</v>
      </c>
      <c r="R424" s="59">
        <v>0</v>
      </c>
      <c r="S424" s="14">
        <v>0</v>
      </c>
      <c r="T424" s="59">
        <v>0</v>
      </c>
      <c r="U424" s="15">
        <f t="shared" si="105"/>
        <v>0</v>
      </c>
      <c r="V424" s="14">
        <v>0</v>
      </c>
      <c r="W424" s="15">
        <f t="shared" si="113"/>
        <v>0</v>
      </c>
      <c r="X424" s="14">
        <v>0</v>
      </c>
      <c r="Y424" s="75">
        <v>0</v>
      </c>
      <c r="Z424" s="87">
        <f t="shared" si="114"/>
        <v>0</v>
      </c>
      <c r="AA424" s="14">
        <f t="shared" si="115"/>
        <v>0</v>
      </c>
      <c r="AB424" s="75">
        <v>0</v>
      </c>
      <c r="AC424" s="75">
        <v>0</v>
      </c>
      <c r="AD424" s="59">
        <f t="shared" si="116"/>
        <v>0</v>
      </c>
      <c r="AE424" s="73">
        <v>0</v>
      </c>
      <c r="AF424" s="73">
        <v>0</v>
      </c>
      <c r="AG424" s="15">
        <f t="shared" si="117"/>
        <v>0</v>
      </c>
      <c r="AH424" s="16">
        <f t="shared" si="118"/>
        <v>0</v>
      </c>
      <c r="AI424" s="17">
        <f t="shared" si="119"/>
        <v>0</v>
      </c>
      <c r="AJ424" s="12">
        <f>VLOOKUP(A424,'PreK Proxy - Sept. 2024'!$A$2:$I$674,9,FALSE)</f>
        <v>79</v>
      </c>
      <c r="AK424" s="18">
        <f t="shared" si="120"/>
        <v>0</v>
      </c>
    </row>
    <row r="425" spans="1:37" x14ac:dyDescent="0.35">
      <c r="A425" s="11" t="s">
        <v>858</v>
      </c>
      <c r="B425" s="12" t="s">
        <v>859</v>
      </c>
      <c r="C425" s="54" t="s">
        <v>1386</v>
      </c>
      <c r="D425" s="54" t="s">
        <v>251</v>
      </c>
      <c r="E425" s="66">
        <f t="shared" si="106"/>
        <v>81</v>
      </c>
      <c r="F425" s="13">
        <f t="shared" si="107"/>
        <v>81</v>
      </c>
      <c r="G425" s="67">
        <f t="shared" si="108"/>
        <v>0</v>
      </c>
      <c r="H425" s="64">
        <f t="shared" si="104"/>
        <v>17</v>
      </c>
      <c r="I425" s="80">
        <v>0</v>
      </c>
      <c r="J425" s="80">
        <v>0</v>
      </c>
      <c r="K425" s="59">
        <f t="shared" si="109"/>
        <v>0</v>
      </c>
      <c r="L425" s="59">
        <v>0</v>
      </c>
      <c r="M425" s="59">
        <v>17</v>
      </c>
      <c r="N425" s="59">
        <f t="shared" si="110"/>
        <v>17</v>
      </c>
      <c r="O425" s="15">
        <f t="shared" si="111"/>
        <v>0</v>
      </c>
      <c r="P425" s="87">
        <f t="shared" si="112"/>
        <v>64</v>
      </c>
      <c r="Q425" s="110">
        <v>0</v>
      </c>
      <c r="R425" s="59">
        <v>64</v>
      </c>
      <c r="S425" s="14">
        <v>0</v>
      </c>
      <c r="T425" s="59">
        <v>0</v>
      </c>
      <c r="U425" s="15">
        <f t="shared" si="105"/>
        <v>0</v>
      </c>
      <c r="V425" s="14">
        <v>0</v>
      </c>
      <c r="W425" s="15">
        <f t="shared" si="113"/>
        <v>0</v>
      </c>
      <c r="X425" s="14">
        <v>0</v>
      </c>
      <c r="Y425" s="75">
        <v>0</v>
      </c>
      <c r="Z425" s="87">
        <f t="shared" si="114"/>
        <v>0</v>
      </c>
      <c r="AA425" s="14">
        <f t="shared" si="115"/>
        <v>0</v>
      </c>
      <c r="AB425" s="75">
        <v>0</v>
      </c>
      <c r="AC425" s="75">
        <v>0</v>
      </c>
      <c r="AD425" s="59">
        <f t="shared" si="116"/>
        <v>0</v>
      </c>
      <c r="AE425" s="73">
        <v>0</v>
      </c>
      <c r="AF425" s="73">
        <v>0</v>
      </c>
      <c r="AG425" s="15">
        <f t="shared" si="117"/>
        <v>0</v>
      </c>
      <c r="AH425" s="16">
        <f t="shared" si="118"/>
        <v>0</v>
      </c>
      <c r="AI425" s="17">
        <f t="shared" si="119"/>
        <v>81</v>
      </c>
      <c r="AJ425" s="12">
        <f>VLOOKUP(A425,'PreK Proxy - Sept. 2024'!$A$2:$I$674,9,FALSE)</f>
        <v>146</v>
      </c>
      <c r="AK425" s="18">
        <f t="shared" si="120"/>
        <v>0.5547945205479452</v>
      </c>
    </row>
    <row r="426" spans="1:37" x14ac:dyDescent="0.35">
      <c r="A426" s="11" t="s">
        <v>860</v>
      </c>
      <c r="B426" s="12" t="s">
        <v>1390</v>
      </c>
      <c r="C426" s="54" t="s">
        <v>1381</v>
      </c>
      <c r="D426" s="54" t="s">
        <v>18</v>
      </c>
      <c r="E426" s="66">
        <f t="shared" si="106"/>
        <v>47</v>
      </c>
      <c r="F426" s="13">
        <f t="shared" si="107"/>
        <v>47</v>
      </c>
      <c r="G426" s="67">
        <f t="shared" si="108"/>
        <v>0</v>
      </c>
      <c r="H426" s="64">
        <f t="shared" si="104"/>
        <v>30</v>
      </c>
      <c r="I426" s="80">
        <v>0</v>
      </c>
      <c r="J426" s="80">
        <v>0</v>
      </c>
      <c r="K426" s="59">
        <f t="shared" si="109"/>
        <v>0</v>
      </c>
      <c r="L426" s="59">
        <v>0</v>
      </c>
      <c r="M426" s="59">
        <v>30</v>
      </c>
      <c r="N426" s="59">
        <f t="shared" si="110"/>
        <v>30</v>
      </c>
      <c r="O426" s="15">
        <f t="shared" si="111"/>
        <v>0</v>
      </c>
      <c r="P426" s="87">
        <f t="shared" si="112"/>
        <v>0</v>
      </c>
      <c r="Q426" s="110">
        <v>0</v>
      </c>
      <c r="R426" s="59">
        <v>0</v>
      </c>
      <c r="S426" s="14">
        <v>0</v>
      </c>
      <c r="T426" s="59">
        <v>0</v>
      </c>
      <c r="U426" s="15">
        <f t="shared" si="105"/>
        <v>0</v>
      </c>
      <c r="V426" s="14">
        <v>0</v>
      </c>
      <c r="W426" s="15">
        <f t="shared" si="113"/>
        <v>0</v>
      </c>
      <c r="X426" s="14">
        <v>0</v>
      </c>
      <c r="Y426" s="75">
        <v>0</v>
      </c>
      <c r="Z426" s="87">
        <f t="shared" si="114"/>
        <v>0</v>
      </c>
      <c r="AA426" s="14">
        <f t="shared" si="115"/>
        <v>17</v>
      </c>
      <c r="AB426" s="75">
        <v>0</v>
      </c>
      <c r="AC426" s="75">
        <v>0</v>
      </c>
      <c r="AD426" s="59">
        <f t="shared" si="116"/>
        <v>0</v>
      </c>
      <c r="AE426" s="73">
        <v>0</v>
      </c>
      <c r="AF426" s="73">
        <v>17</v>
      </c>
      <c r="AG426" s="15">
        <f t="shared" si="117"/>
        <v>17</v>
      </c>
      <c r="AH426" s="16">
        <f t="shared" si="118"/>
        <v>0</v>
      </c>
      <c r="AI426" s="17">
        <f t="shared" si="119"/>
        <v>47</v>
      </c>
      <c r="AJ426" s="12">
        <f>VLOOKUP(A426,'PreK Proxy - Sept. 2024'!$A$2:$I$674,9,FALSE)</f>
        <v>34</v>
      </c>
      <c r="AK426" s="18">
        <f t="shared" si="120"/>
        <v>1</v>
      </c>
    </row>
    <row r="427" spans="1:37" x14ac:dyDescent="0.35">
      <c r="A427" s="11" t="s">
        <v>861</v>
      </c>
      <c r="B427" s="12" t="s">
        <v>862</v>
      </c>
      <c r="C427" s="54" t="s">
        <v>1381</v>
      </c>
      <c r="D427" s="54" t="s">
        <v>18</v>
      </c>
      <c r="E427" s="66">
        <f t="shared" si="106"/>
        <v>45</v>
      </c>
      <c r="F427" s="13">
        <f t="shared" si="107"/>
        <v>45</v>
      </c>
      <c r="G427" s="67">
        <f t="shared" si="108"/>
        <v>0</v>
      </c>
      <c r="H427" s="64">
        <f t="shared" si="104"/>
        <v>17</v>
      </c>
      <c r="I427" s="80">
        <v>0</v>
      </c>
      <c r="J427" s="80">
        <v>0</v>
      </c>
      <c r="K427" s="59">
        <f t="shared" si="109"/>
        <v>0</v>
      </c>
      <c r="L427" s="59">
        <v>0</v>
      </c>
      <c r="M427" s="59">
        <v>17</v>
      </c>
      <c r="N427" s="59">
        <f t="shared" si="110"/>
        <v>17</v>
      </c>
      <c r="O427" s="15">
        <f t="shared" si="111"/>
        <v>0</v>
      </c>
      <c r="P427" s="87">
        <f t="shared" si="112"/>
        <v>28</v>
      </c>
      <c r="Q427" s="110">
        <v>0</v>
      </c>
      <c r="R427" s="59">
        <v>28</v>
      </c>
      <c r="S427" s="14">
        <v>0</v>
      </c>
      <c r="T427" s="59">
        <v>0</v>
      </c>
      <c r="U427" s="15">
        <f t="shared" si="105"/>
        <v>0</v>
      </c>
      <c r="V427" s="14">
        <v>0</v>
      </c>
      <c r="W427" s="15">
        <f t="shared" si="113"/>
        <v>0</v>
      </c>
      <c r="X427" s="14">
        <v>0</v>
      </c>
      <c r="Y427" s="75">
        <v>0</v>
      </c>
      <c r="Z427" s="87">
        <f t="shared" si="114"/>
        <v>0</v>
      </c>
      <c r="AA427" s="14">
        <f t="shared" si="115"/>
        <v>0</v>
      </c>
      <c r="AB427" s="75">
        <v>0</v>
      </c>
      <c r="AC427" s="75">
        <v>0</v>
      </c>
      <c r="AD427" s="59">
        <f t="shared" si="116"/>
        <v>0</v>
      </c>
      <c r="AE427" s="73">
        <v>0</v>
      </c>
      <c r="AF427" s="73">
        <v>0</v>
      </c>
      <c r="AG427" s="15">
        <f t="shared" si="117"/>
        <v>0</v>
      </c>
      <c r="AH427" s="16">
        <f t="shared" si="118"/>
        <v>0</v>
      </c>
      <c r="AI427" s="17">
        <f t="shared" si="119"/>
        <v>45</v>
      </c>
      <c r="AJ427" s="12">
        <f>VLOOKUP(A427,'PreK Proxy - Sept. 2024'!$A$2:$I$674,9,FALSE)</f>
        <v>64</v>
      </c>
      <c r="AK427" s="18">
        <f t="shared" si="120"/>
        <v>0.703125</v>
      </c>
    </row>
    <row r="428" spans="1:37" x14ac:dyDescent="0.35">
      <c r="A428" s="11" t="s">
        <v>863</v>
      </c>
      <c r="B428" s="12" t="s">
        <v>864</v>
      </c>
      <c r="C428" s="54" t="s">
        <v>1381</v>
      </c>
      <c r="D428" s="54" t="s">
        <v>18</v>
      </c>
      <c r="E428" s="66">
        <f t="shared" si="106"/>
        <v>98</v>
      </c>
      <c r="F428" s="13">
        <f t="shared" si="107"/>
        <v>98</v>
      </c>
      <c r="G428" s="67">
        <f t="shared" si="108"/>
        <v>0</v>
      </c>
      <c r="H428" s="64">
        <f t="shared" si="104"/>
        <v>0</v>
      </c>
      <c r="I428" s="80">
        <v>0</v>
      </c>
      <c r="J428" s="80">
        <v>0</v>
      </c>
      <c r="K428" s="59">
        <f t="shared" si="109"/>
        <v>0</v>
      </c>
      <c r="L428" s="59">
        <v>0</v>
      </c>
      <c r="M428" s="59">
        <v>0</v>
      </c>
      <c r="N428" s="59">
        <f t="shared" si="110"/>
        <v>0</v>
      </c>
      <c r="O428" s="15">
        <f t="shared" si="111"/>
        <v>0</v>
      </c>
      <c r="P428" s="87">
        <f t="shared" si="112"/>
        <v>98</v>
      </c>
      <c r="Q428" s="110">
        <v>0</v>
      </c>
      <c r="R428" s="59">
        <v>98</v>
      </c>
      <c r="S428" s="14">
        <v>0</v>
      </c>
      <c r="T428" s="59">
        <v>0</v>
      </c>
      <c r="U428" s="15">
        <f t="shared" si="105"/>
        <v>0</v>
      </c>
      <c r="V428" s="14">
        <v>0</v>
      </c>
      <c r="W428" s="15">
        <f t="shared" si="113"/>
        <v>0</v>
      </c>
      <c r="X428" s="14">
        <v>0</v>
      </c>
      <c r="Y428" s="75">
        <v>0</v>
      </c>
      <c r="Z428" s="87">
        <f t="shared" si="114"/>
        <v>0</v>
      </c>
      <c r="AA428" s="14">
        <f t="shared" si="115"/>
        <v>0</v>
      </c>
      <c r="AB428" s="75">
        <v>0</v>
      </c>
      <c r="AC428" s="75">
        <v>0</v>
      </c>
      <c r="AD428" s="59">
        <f t="shared" si="116"/>
        <v>0</v>
      </c>
      <c r="AE428" s="73">
        <v>0</v>
      </c>
      <c r="AF428" s="73">
        <v>0</v>
      </c>
      <c r="AG428" s="15">
        <f t="shared" si="117"/>
        <v>0</v>
      </c>
      <c r="AH428" s="16">
        <f t="shared" si="118"/>
        <v>0</v>
      </c>
      <c r="AI428" s="17">
        <f t="shared" si="119"/>
        <v>98</v>
      </c>
      <c r="AJ428" s="12">
        <f>VLOOKUP(A428,'PreK Proxy - Sept. 2024'!$A$2:$I$674,9,FALSE)</f>
        <v>294</v>
      </c>
      <c r="AK428" s="18">
        <f t="shared" si="120"/>
        <v>0.33333333333333331</v>
      </c>
    </row>
    <row r="429" spans="1:37" x14ac:dyDescent="0.35">
      <c r="A429" s="11" t="s">
        <v>865</v>
      </c>
      <c r="B429" s="12" t="s">
        <v>866</v>
      </c>
      <c r="C429" s="54" t="s">
        <v>1381</v>
      </c>
      <c r="D429" s="54" t="s">
        <v>18</v>
      </c>
      <c r="E429" s="66">
        <f t="shared" si="106"/>
        <v>54</v>
      </c>
      <c r="F429" s="13">
        <f t="shared" si="107"/>
        <v>54</v>
      </c>
      <c r="G429" s="67">
        <f t="shared" si="108"/>
        <v>0</v>
      </c>
      <c r="H429" s="64">
        <f t="shared" si="104"/>
        <v>54</v>
      </c>
      <c r="I429" s="80">
        <v>0</v>
      </c>
      <c r="J429" s="80">
        <v>0</v>
      </c>
      <c r="K429" s="59">
        <f t="shared" si="109"/>
        <v>0</v>
      </c>
      <c r="L429" s="59">
        <v>0</v>
      </c>
      <c r="M429" s="59">
        <v>54</v>
      </c>
      <c r="N429" s="59">
        <f t="shared" si="110"/>
        <v>54</v>
      </c>
      <c r="O429" s="15">
        <f t="shared" si="111"/>
        <v>0</v>
      </c>
      <c r="P429" s="87">
        <f t="shared" si="112"/>
        <v>0</v>
      </c>
      <c r="Q429" s="110">
        <v>0</v>
      </c>
      <c r="R429" s="59">
        <v>0</v>
      </c>
      <c r="S429" s="14">
        <v>0</v>
      </c>
      <c r="T429" s="59">
        <v>0</v>
      </c>
      <c r="U429" s="15">
        <f t="shared" si="105"/>
        <v>0</v>
      </c>
      <c r="V429" s="14">
        <v>0</v>
      </c>
      <c r="W429" s="15">
        <f t="shared" si="113"/>
        <v>0</v>
      </c>
      <c r="X429" s="14">
        <v>0</v>
      </c>
      <c r="Y429" s="75">
        <v>0</v>
      </c>
      <c r="Z429" s="87">
        <f t="shared" si="114"/>
        <v>0</v>
      </c>
      <c r="AA429" s="14">
        <f t="shared" si="115"/>
        <v>0</v>
      </c>
      <c r="AB429" s="75">
        <v>0</v>
      </c>
      <c r="AC429" s="75">
        <v>0</v>
      </c>
      <c r="AD429" s="59">
        <f t="shared" si="116"/>
        <v>0</v>
      </c>
      <c r="AE429" s="73">
        <v>0</v>
      </c>
      <c r="AF429" s="73">
        <v>0</v>
      </c>
      <c r="AG429" s="15">
        <f t="shared" si="117"/>
        <v>0</v>
      </c>
      <c r="AH429" s="16">
        <f t="shared" si="118"/>
        <v>0</v>
      </c>
      <c r="AI429" s="17">
        <f t="shared" si="119"/>
        <v>54</v>
      </c>
      <c r="AJ429" s="12">
        <f>VLOOKUP(A429,'PreK Proxy - Sept. 2024'!$A$2:$I$674,9,FALSE)</f>
        <v>56</v>
      </c>
      <c r="AK429" s="18">
        <f t="shared" si="120"/>
        <v>0.9642857142857143</v>
      </c>
    </row>
    <row r="430" spans="1:37" x14ac:dyDescent="0.35">
      <c r="A430" s="11" t="s">
        <v>867</v>
      </c>
      <c r="B430" s="12" t="s">
        <v>868</v>
      </c>
      <c r="C430" s="54" t="s">
        <v>1381</v>
      </c>
      <c r="D430" s="54" t="s">
        <v>18</v>
      </c>
      <c r="E430" s="66">
        <f t="shared" si="106"/>
        <v>131</v>
      </c>
      <c r="F430" s="13">
        <f t="shared" si="107"/>
        <v>131</v>
      </c>
      <c r="G430" s="67">
        <f t="shared" si="108"/>
        <v>0</v>
      </c>
      <c r="H430" s="64">
        <f t="shared" si="104"/>
        <v>77</v>
      </c>
      <c r="I430" s="80">
        <v>0</v>
      </c>
      <c r="J430" s="80">
        <v>0</v>
      </c>
      <c r="K430" s="59">
        <f t="shared" si="109"/>
        <v>0</v>
      </c>
      <c r="L430" s="59">
        <v>23</v>
      </c>
      <c r="M430" s="59">
        <v>54</v>
      </c>
      <c r="N430" s="59">
        <f t="shared" si="110"/>
        <v>77</v>
      </c>
      <c r="O430" s="15">
        <f t="shared" si="111"/>
        <v>0</v>
      </c>
      <c r="P430" s="87">
        <f t="shared" si="112"/>
        <v>0</v>
      </c>
      <c r="Q430" s="110">
        <v>0</v>
      </c>
      <c r="R430" s="59">
        <v>0</v>
      </c>
      <c r="S430" s="14">
        <v>34</v>
      </c>
      <c r="T430" s="59">
        <v>0</v>
      </c>
      <c r="U430" s="15">
        <f t="shared" si="105"/>
        <v>34</v>
      </c>
      <c r="V430" s="14">
        <v>0</v>
      </c>
      <c r="W430" s="15">
        <f t="shared" si="113"/>
        <v>0</v>
      </c>
      <c r="X430" s="14">
        <v>20</v>
      </c>
      <c r="Y430" s="75">
        <v>0</v>
      </c>
      <c r="Z430" s="87">
        <f t="shared" si="114"/>
        <v>20</v>
      </c>
      <c r="AA430" s="14">
        <f t="shared" si="115"/>
        <v>0</v>
      </c>
      <c r="AB430" s="75">
        <v>0</v>
      </c>
      <c r="AC430" s="75">
        <v>0</v>
      </c>
      <c r="AD430" s="59">
        <f t="shared" si="116"/>
        <v>0</v>
      </c>
      <c r="AE430" s="73">
        <v>0</v>
      </c>
      <c r="AF430" s="73">
        <v>0</v>
      </c>
      <c r="AG430" s="15">
        <f t="shared" si="117"/>
        <v>0</v>
      </c>
      <c r="AH430" s="16">
        <f t="shared" si="118"/>
        <v>0</v>
      </c>
      <c r="AI430" s="17">
        <f t="shared" si="119"/>
        <v>108</v>
      </c>
      <c r="AJ430" s="12">
        <f>VLOOKUP(A430,'PreK Proxy - Sept. 2024'!$A$2:$I$674,9,FALSE)</f>
        <v>111</v>
      </c>
      <c r="AK430" s="18">
        <f t="shared" si="120"/>
        <v>0.97297297297297303</v>
      </c>
    </row>
    <row r="431" spans="1:37" x14ac:dyDescent="0.35">
      <c r="A431" s="11" t="s">
        <v>869</v>
      </c>
      <c r="B431" s="12" t="s">
        <v>870</v>
      </c>
      <c r="C431" s="54" t="s">
        <v>1381</v>
      </c>
      <c r="D431" s="54" t="s">
        <v>18</v>
      </c>
      <c r="E431" s="66">
        <f t="shared" si="106"/>
        <v>18</v>
      </c>
      <c r="F431" s="13">
        <f t="shared" si="107"/>
        <v>18</v>
      </c>
      <c r="G431" s="67">
        <f t="shared" si="108"/>
        <v>0</v>
      </c>
      <c r="H431" s="64">
        <f t="shared" si="104"/>
        <v>0</v>
      </c>
      <c r="I431" s="80">
        <v>0</v>
      </c>
      <c r="J431" s="80">
        <v>0</v>
      </c>
      <c r="K431" s="59">
        <f t="shared" si="109"/>
        <v>0</v>
      </c>
      <c r="L431" s="59">
        <v>0</v>
      </c>
      <c r="M431" s="59">
        <v>0</v>
      </c>
      <c r="N431" s="59">
        <f t="shared" si="110"/>
        <v>0</v>
      </c>
      <c r="O431" s="15">
        <f t="shared" si="111"/>
        <v>0</v>
      </c>
      <c r="P431" s="87">
        <f t="shared" si="112"/>
        <v>18</v>
      </c>
      <c r="Q431" s="110">
        <v>0</v>
      </c>
      <c r="R431" s="59">
        <v>18</v>
      </c>
      <c r="S431" s="14">
        <v>0</v>
      </c>
      <c r="T431" s="59">
        <v>0</v>
      </c>
      <c r="U431" s="15">
        <f t="shared" si="105"/>
        <v>0</v>
      </c>
      <c r="V431" s="14">
        <v>0</v>
      </c>
      <c r="W431" s="15">
        <f t="shared" si="113"/>
        <v>0</v>
      </c>
      <c r="X431" s="14">
        <v>0</v>
      </c>
      <c r="Y431" s="75">
        <v>0</v>
      </c>
      <c r="Z431" s="87">
        <f t="shared" si="114"/>
        <v>0</v>
      </c>
      <c r="AA431" s="14">
        <f t="shared" si="115"/>
        <v>0</v>
      </c>
      <c r="AB431" s="75">
        <v>0</v>
      </c>
      <c r="AC431" s="75">
        <v>0</v>
      </c>
      <c r="AD431" s="59">
        <f t="shared" si="116"/>
        <v>0</v>
      </c>
      <c r="AE431" s="73">
        <v>0</v>
      </c>
      <c r="AF431" s="73">
        <v>0</v>
      </c>
      <c r="AG431" s="15">
        <f t="shared" si="117"/>
        <v>0</v>
      </c>
      <c r="AH431" s="16">
        <f t="shared" si="118"/>
        <v>0</v>
      </c>
      <c r="AI431" s="17">
        <f t="shared" si="119"/>
        <v>18</v>
      </c>
      <c r="AJ431" s="12">
        <f>VLOOKUP(A431,'PreK Proxy - Sept. 2024'!$A$2:$I$674,9,FALSE)</f>
        <v>28</v>
      </c>
      <c r="AK431" s="18">
        <f t="shared" si="120"/>
        <v>0.6428571428571429</v>
      </c>
    </row>
    <row r="432" spans="1:37" x14ac:dyDescent="0.35">
      <c r="A432" s="11" t="s">
        <v>871</v>
      </c>
      <c r="B432" s="12" t="s">
        <v>872</v>
      </c>
      <c r="C432" s="54" t="s">
        <v>1381</v>
      </c>
      <c r="D432" s="54" t="s">
        <v>18</v>
      </c>
      <c r="E432" s="66">
        <f t="shared" si="106"/>
        <v>57</v>
      </c>
      <c r="F432" s="13">
        <f t="shared" si="107"/>
        <v>57</v>
      </c>
      <c r="G432" s="67">
        <f t="shared" si="108"/>
        <v>0</v>
      </c>
      <c r="H432" s="64">
        <f t="shared" si="104"/>
        <v>39</v>
      </c>
      <c r="I432" s="80">
        <v>0</v>
      </c>
      <c r="J432" s="80">
        <v>0</v>
      </c>
      <c r="K432" s="59">
        <f t="shared" si="109"/>
        <v>0</v>
      </c>
      <c r="L432" s="59">
        <v>9</v>
      </c>
      <c r="M432" s="59">
        <v>30</v>
      </c>
      <c r="N432" s="59">
        <f t="shared" si="110"/>
        <v>39</v>
      </c>
      <c r="O432" s="15">
        <f t="shared" si="111"/>
        <v>0</v>
      </c>
      <c r="P432" s="87">
        <f t="shared" si="112"/>
        <v>0</v>
      </c>
      <c r="Q432" s="110">
        <v>0</v>
      </c>
      <c r="R432" s="59">
        <v>0</v>
      </c>
      <c r="S432" s="14">
        <v>18</v>
      </c>
      <c r="T432" s="59">
        <v>0</v>
      </c>
      <c r="U432" s="15">
        <f t="shared" si="105"/>
        <v>18</v>
      </c>
      <c r="V432" s="14">
        <v>0</v>
      </c>
      <c r="W432" s="15">
        <f t="shared" si="113"/>
        <v>0</v>
      </c>
      <c r="X432" s="14">
        <v>0</v>
      </c>
      <c r="Y432" s="75">
        <v>0</v>
      </c>
      <c r="Z432" s="87">
        <f t="shared" si="114"/>
        <v>0</v>
      </c>
      <c r="AA432" s="14">
        <f t="shared" si="115"/>
        <v>0</v>
      </c>
      <c r="AB432" s="75">
        <v>0</v>
      </c>
      <c r="AC432" s="75">
        <v>0</v>
      </c>
      <c r="AD432" s="59">
        <f t="shared" si="116"/>
        <v>0</v>
      </c>
      <c r="AE432" s="73">
        <v>0</v>
      </c>
      <c r="AF432" s="73">
        <v>0</v>
      </c>
      <c r="AG432" s="15">
        <f t="shared" si="117"/>
        <v>0</v>
      </c>
      <c r="AH432" s="16">
        <f t="shared" si="118"/>
        <v>0</v>
      </c>
      <c r="AI432" s="17">
        <f t="shared" si="119"/>
        <v>48</v>
      </c>
      <c r="AJ432" s="12">
        <f>VLOOKUP(A432,'PreK Proxy - Sept. 2024'!$A$2:$I$674,9,FALSE)</f>
        <v>75</v>
      </c>
      <c r="AK432" s="18">
        <f t="shared" si="120"/>
        <v>0.64</v>
      </c>
    </row>
    <row r="433" spans="1:37" x14ac:dyDescent="0.35">
      <c r="A433" s="11" t="s">
        <v>873</v>
      </c>
      <c r="B433" s="12" t="s">
        <v>874</v>
      </c>
      <c r="C433" s="54" t="s">
        <v>1381</v>
      </c>
      <c r="D433" s="54" t="s">
        <v>18</v>
      </c>
      <c r="E433" s="66">
        <f t="shared" si="106"/>
        <v>47</v>
      </c>
      <c r="F433" s="13">
        <f t="shared" si="107"/>
        <v>47</v>
      </c>
      <c r="G433" s="67">
        <f t="shared" si="108"/>
        <v>0</v>
      </c>
      <c r="H433" s="64">
        <f t="shared" si="104"/>
        <v>0</v>
      </c>
      <c r="I433" s="80">
        <v>0</v>
      </c>
      <c r="J433" s="80">
        <v>0</v>
      </c>
      <c r="K433" s="59">
        <f t="shared" si="109"/>
        <v>0</v>
      </c>
      <c r="L433" s="59">
        <v>0</v>
      </c>
      <c r="M433" s="59">
        <v>0</v>
      </c>
      <c r="N433" s="59">
        <f t="shared" si="110"/>
        <v>0</v>
      </c>
      <c r="O433" s="15">
        <f t="shared" si="111"/>
        <v>0</v>
      </c>
      <c r="P433" s="87">
        <f t="shared" si="112"/>
        <v>47</v>
      </c>
      <c r="Q433" s="110">
        <v>0</v>
      </c>
      <c r="R433" s="59">
        <v>47</v>
      </c>
      <c r="S433" s="14">
        <v>0</v>
      </c>
      <c r="T433" s="59">
        <v>0</v>
      </c>
      <c r="U433" s="15">
        <f t="shared" si="105"/>
        <v>0</v>
      </c>
      <c r="V433" s="14">
        <v>0</v>
      </c>
      <c r="W433" s="15">
        <f t="shared" si="113"/>
        <v>0</v>
      </c>
      <c r="X433" s="14">
        <v>0</v>
      </c>
      <c r="Y433" s="75">
        <v>0</v>
      </c>
      <c r="Z433" s="87">
        <f t="shared" si="114"/>
        <v>0</v>
      </c>
      <c r="AA433" s="14">
        <f t="shared" si="115"/>
        <v>0</v>
      </c>
      <c r="AB433" s="75">
        <v>0</v>
      </c>
      <c r="AC433" s="75">
        <v>0</v>
      </c>
      <c r="AD433" s="59">
        <f t="shared" si="116"/>
        <v>0</v>
      </c>
      <c r="AE433" s="73">
        <v>0</v>
      </c>
      <c r="AF433" s="73">
        <v>0</v>
      </c>
      <c r="AG433" s="15">
        <f t="shared" si="117"/>
        <v>0</v>
      </c>
      <c r="AH433" s="16">
        <f t="shared" si="118"/>
        <v>0</v>
      </c>
      <c r="AI433" s="17">
        <f t="shared" si="119"/>
        <v>47</v>
      </c>
      <c r="AJ433" s="12">
        <f>VLOOKUP(A433,'PreK Proxy - Sept. 2024'!$A$2:$I$674,9,FALSE)</f>
        <v>145</v>
      </c>
      <c r="AK433" s="18">
        <f t="shared" si="120"/>
        <v>0.32413793103448274</v>
      </c>
    </row>
    <row r="434" spans="1:37" x14ac:dyDescent="0.35">
      <c r="A434" s="11" t="s">
        <v>875</v>
      </c>
      <c r="B434" s="12" t="s">
        <v>876</v>
      </c>
      <c r="C434" s="54" t="s">
        <v>1381</v>
      </c>
      <c r="D434" s="54" t="s">
        <v>18</v>
      </c>
      <c r="E434" s="66">
        <f t="shared" si="106"/>
        <v>41</v>
      </c>
      <c r="F434" s="13">
        <f t="shared" si="107"/>
        <v>41</v>
      </c>
      <c r="G434" s="67">
        <f t="shared" si="108"/>
        <v>0</v>
      </c>
      <c r="H434" s="64">
        <f t="shared" si="104"/>
        <v>41</v>
      </c>
      <c r="I434" s="80">
        <v>0</v>
      </c>
      <c r="J434" s="80">
        <v>0</v>
      </c>
      <c r="K434" s="59">
        <f t="shared" si="109"/>
        <v>0</v>
      </c>
      <c r="L434" s="59">
        <v>0</v>
      </c>
      <c r="M434" s="59">
        <v>41</v>
      </c>
      <c r="N434" s="59">
        <f t="shared" si="110"/>
        <v>41</v>
      </c>
      <c r="O434" s="15">
        <f t="shared" si="111"/>
        <v>0</v>
      </c>
      <c r="P434" s="87">
        <f t="shared" si="112"/>
        <v>0</v>
      </c>
      <c r="Q434" s="110">
        <v>0</v>
      </c>
      <c r="R434" s="59">
        <v>0</v>
      </c>
      <c r="S434" s="14">
        <v>0</v>
      </c>
      <c r="T434" s="59">
        <v>0</v>
      </c>
      <c r="U434" s="15">
        <f t="shared" si="105"/>
        <v>0</v>
      </c>
      <c r="V434" s="14">
        <v>0</v>
      </c>
      <c r="W434" s="15">
        <f t="shared" si="113"/>
        <v>0</v>
      </c>
      <c r="X434" s="14">
        <v>0</v>
      </c>
      <c r="Y434" s="75">
        <v>0</v>
      </c>
      <c r="Z434" s="87">
        <f t="shared" si="114"/>
        <v>0</v>
      </c>
      <c r="AA434" s="14">
        <f t="shared" si="115"/>
        <v>0</v>
      </c>
      <c r="AB434" s="75">
        <v>0</v>
      </c>
      <c r="AC434" s="75">
        <v>0</v>
      </c>
      <c r="AD434" s="59">
        <f t="shared" si="116"/>
        <v>0</v>
      </c>
      <c r="AE434" s="73">
        <v>0</v>
      </c>
      <c r="AF434" s="73">
        <v>0</v>
      </c>
      <c r="AG434" s="15">
        <f t="shared" si="117"/>
        <v>0</v>
      </c>
      <c r="AH434" s="16">
        <f t="shared" si="118"/>
        <v>0</v>
      </c>
      <c r="AI434" s="17">
        <f t="shared" si="119"/>
        <v>41</v>
      </c>
      <c r="AJ434" s="12">
        <f>VLOOKUP(A434,'PreK Proxy - Sept. 2024'!$A$2:$I$674,9,FALSE)</f>
        <v>55</v>
      </c>
      <c r="AK434" s="18">
        <f t="shared" si="120"/>
        <v>0.74545454545454548</v>
      </c>
    </row>
    <row r="435" spans="1:37" x14ac:dyDescent="0.35">
      <c r="A435" s="11" t="s">
        <v>877</v>
      </c>
      <c r="B435" s="12" t="s">
        <v>878</v>
      </c>
      <c r="C435" s="54" t="s">
        <v>1381</v>
      </c>
      <c r="D435" s="54" t="s">
        <v>18</v>
      </c>
      <c r="E435" s="66">
        <f t="shared" si="106"/>
        <v>20</v>
      </c>
      <c r="F435" s="13">
        <f t="shared" si="107"/>
        <v>20</v>
      </c>
      <c r="G435" s="67">
        <f t="shared" si="108"/>
        <v>0</v>
      </c>
      <c r="H435" s="64">
        <f t="shared" si="104"/>
        <v>0</v>
      </c>
      <c r="I435" s="80">
        <v>0</v>
      </c>
      <c r="J435" s="80">
        <v>0</v>
      </c>
      <c r="K435" s="59">
        <f t="shared" si="109"/>
        <v>0</v>
      </c>
      <c r="L435" s="59">
        <v>0</v>
      </c>
      <c r="M435" s="59">
        <v>0</v>
      </c>
      <c r="N435" s="59">
        <f t="shared" si="110"/>
        <v>0</v>
      </c>
      <c r="O435" s="15">
        <f t="shared" si="111"/>
        <v>0</v>
      </c>
      <c r="P435" s="87">
        <f t="shared" si="112"/>
        <v>20</v>
      </c>
      <c r="Q435" s="110">
        <v>0</v>
      </c>
      <c r="R435" s="59">
        <v>20</v>
      </c>
      <c r="S435" s="14">
        <v>0</v>
      </c>
      <c r="T435" s="59">
        <v>0</v>
      </c>
      <c r="U435" s="15">
        <f t="shared" si="105"/>
        <v>0</v>
      </c>
      <c r="V435" s="14">
        <v>0</v>
      </c>
      <c r="W435" s="15">
        <f t="shared" si="113"/>
        <v>0</v>
      </c>
      <c r="X435" s="14">
        <v>0</v>
      </c>
      <c r="Y435" s="75">
        <v>0</v>
      </c>
      <c r="Z435" s="87">
        <f t="shared" si="114"/>
        <v>0</v>
      </c>
      <c r="AA435" s="14">
        <f t="shared" si="115"/>
        <v>0</v>
      </c>
      <c r="AB435" s="75">
        <v>0</v>
      </c>
      <c r="AC435" s="75">
        <v>0</v>
      </c>
      <c r="AD435" s="59">
        <f t="shared" si="116"/>
        <v>0</v>
      </c>
      <c r="AE435" s="73">
        <v>0</v>
      </c>
      <c r="AF435" s="73">
        <v>0</v>
      </c>
      <c r="AG435" s="15">
        <f t="shared" si="117"/>
        <v>0</v>
      </c>
      <c r="AH435" s="16">
        <f t="shared" si="118"/>
        <v>0</v>
      </c>
      <c r="AI435" s="17">
        <f t="shared" si="119"/>
        <v>20</v>
      </c>
      <c r="AJ435" s="12">
        <f>VLOOKUP(A435,'PreK Proxy - Sept. 2024'!$A$2:$I$674,9,FALSE)</f>
        <v>60</v>
      </c>
      <c r="AK435" s="18">
        <f t="shared" si="120"/>
        <v>0.33333333333333331</v>
      </c>
    </row>
    <row r="436" spans="1:37" x14ac:dyDescent="0.35">
      <c r="A436" s="11" t="s">
        <v>879</v>
      </c>
      <c r="B436" s="12" t="s">
        <v>880</v>
      </c>
      <c r="C436" s="54" t="s">
        <v>1381</v>
      </c>
      <c r="D436" s="54" t="s">
        <v>18</v>
      </c>
      <c r="E436" s="66">
        <f t="shared" si="106"/>
        <v>270</v>
      </c>
      <c r="F436" s="13">
        <f t="shared" si="107"/>
        <v>269</v>
      </c>
      <c r="G436" s="67">
        <f t="shared" si="108"/>
        <v>1</v>
      </c>
      <c r="H436" s="64">
        <f t="shared" si="104"/>
        <v>270</v>
      </c>
      <c r="I436" s="80">
        <v>0</v>
      </c>
      <c r="J436" s="80">
        <v>1</v>
      </c>
      <c r="K436" s="59">
        <f t="shared" si="109"/>
        <v>1</v>
      </c>
      <c r="L436" s="59">
        <v>90</v>
      </c>
      <c r="M436" s="59">
        <v>179</v>
      </c>
      <c r="N436" s="59">
        <f t="shared" si="110"/>
        <v>269</v>
      </c>
      <c r="O436" s="15">
        <f t="shared" si="111"/>
        <v>0</v>
      </c>
      <c r="P436" s="87">
        <f t="shared" si="112"/>
        <v>0</v>
      </c>
      <c r="Q436" s="110">
        <v>0</v>
      </c>
      <c r="R436" s="59">
        <v>0</v>
      </c>
      <c r="S436" s="14">
        <v>0</v>
      </c>
      <c r="T436" s="59">
        <v>0</v>
      </c>
      <c r="U436" s="15">
        <f t="shared" si="105"/>
        <v>0</v>
      </c>
      <c r="V436" s="14">
        <v>0</v>
      </c>
      <c r="W436" s="15">
        <f t="shared" si="113"/>
        <v>0</v>
      </c>
      <c r="X436" s="14">
        <v>0</v>
      </c>
      <c r="Y436" s="75">
        <v>0</v>
      </c>
      <c r="Z436" s="87">
        <f t="shared" si="114"/>
        <v>0</v>
      </c>
      <c r="AA436" s="14">
        <f t="shared" si="115"/>
        <v>0</v>
      </c>
      <c r="AB436" s="75">
        <v>0</v>
      </c>
      <c r="AC436" s="75">
        <v>0</v>
      </c>
      <c r="AD436" s="59">
        <f t="shared" si="116"/>
        <v>0</v>
      </c>
      <c r="AE436" s="73">
        <v>0</v>
      </c>
      <c r="AF436" s="73">
        <v>0</v>
      </c>
      <c r="AG436" s="15">
        <f t="shared" si="117"/>
        <v>0</v>
      </c>
      <c r="AH436" s="16">
        <f t="shared" si="118"/>
        <v>1</v>
      </c>
      <c r="AI436" s="17">
        <f t="shared" si="119"/>
        <v>179</v>
      </c>
      <c r="AJ436" s="12">
        <f>VLOOKUP(A436,'PreK Proxy - Sept. 2024'!$A$2:$I$674,9,FALSE)</f>
        <v>274</v>
      </c>
      <c r="AK436" s="18">
        <f t="shared" si="120"/>
        <v>0.65693430656934304</v>
      </c>
    </row>
    <row r="437" spans="1:37" x14ac:dyDescent="0.35">
      <c r="A437" s="11" t="s">
        <v>881</v>
      </c>
      <c r="B437" s="12" t="s">
        <v>882</v>
      </c>
      <c r="C437" s="54" t="s">
        <v>1436</v>
      </c>
      <c r="D437" s="54" t="s">
        <v>251</v>
      </c>
      <c r="E437" s="66">
        <f t="shared" si="106"/>
        <v>295</v>
      </c>
      <c r="F437" s="13">
        <f t="shared" si="107"/>
        <v>295</v>
      </c>
      <c r="G437" s="67">
        <f t="shared" si="108"/>
        <v>0</v>
      </c>
      <c r="H437" s="64">
        <f t="shared" si="104"/>
        <v>96</v>
      </c>
      <c r="I437" s="80">
        <v>0</v>
      </c>
      <c r="J437" s="80">
        <v>0</v>
      </c>
      <c r="K437" s="59">
        <f t="shared" si="109"/>
        <v>0</v>
      </c>
      <c r="L437" s="59">
        <v>0</v>
      </c>
      <c r="M437" s="59">
        <v>96</v>
      </c>
      <c r="N437" s="59">
        <f t="shared" si="110"/>
        <v>96</v>
      </c>
      <c r="O437" s="15">
        <f t="shared" si="111"/>
        <v>0</v>
      </c>
      <c r="P437" s="87">
        <f t="shared" si="112"/>
        <v>120</v>
      </c>
      <c r="Q437" s="110">
        <v>0</v>
      </c>
      <c r="R437" s="59">
        <v>120</v>
      </c>
      <c r="S437" s="14">
        <v>0</v>
      </c>
      <c r="T437" s="59">
        <v>0</v>
      </c>
      <c r="U437" s="15">
        <f t="shared" si="105"/>
        <v>0</v>
      </c>
      <c r="V437" s="14">
        <v>0</v>
      </c>
      <c r="W437" s="15">
        <f t="shared" si="113"/>
        <v>0</v>
      </c>
      <c r="X437" s="14">
        <v>79</v>
      </c>
      <c r="Y437" s="75">
        <v>0</v>
      </c>
      <c r="Z437" s="87">
        <f t="shared" si="114"/>
        <v>79</v>
      </c>
      <c r="AA437" s="14">
        <f t="shared" si="115"/>
        <v>0</v>
      </c>
      <c r="AB437" s="75">
        <v>0</v>
      </c>
      <c r="AC437" s="75">
        <v>0</v>
      </c>
      <c r="AD437" s="59">
        <f t="shared" si="116"/>
        <v>0</v>
      </c>
      <c r="AE437" s="73">
        <v>0</v>
      </c>
      <c r="AF437" s="73">
        <v>0</v>
      </c>
      <c r="AG437" s="15">
        <f t="shared" si="117"/>
        <v>0</v>
      </c>
      <c r="AH437" s="16">
        <f t="shared" si="118"/>
        <v>0</v>
      </c>
      <c r="AI437" s="17">
        <f t="shared" si="119"/>
        <v>295</v>
      </c>
      <c r="AJ437" s="12">
        <f>VLOOKUP(A437,'PreK Proxy - Sept. 2024'!$A$2:$I$674,9,FALSE)</f>
        <v>425</v>
      </c>
      <c r="AK437" s="18">
        <f t="shared" si="120"/>
        <v>0.69411764705882351</v>
      </c>
    </row>
    <row r="438" spans="1:37" x14ac:dyDescent="0.35">
      <c r="A438" s="11" t="s">
        <v>883</v>
      </c>
      <c r="B438" s="12" t="s">
        <v>884</v>
      </c>
      <c r="C438" s="54" t="s">
        <v>1436</v>
      </c>
      <c r="D438" s="54" t="s">
        <v>251</v>
      </c>
      <c r="E438" s="66">
        <f t="shared" si="106"/>
        <v>80</v>
      </c>
      <c r="F438" s="13">
        <f t="shared" si="107"/>
        <v>80</v>
      </c>
      <c r="G438" s="67">
        <f t="shared" si="108"/>
        <v>0</v>
      </c>
      <c r="H438" s="64">
        <f t="shared" si="104"/>
        <v>41</v>
      </c>
      <c r="I438" s="80">
        <v>0</v>
      </c>
      <c r="J438" s="80">
        <v>0</v>
      </c>
      <c r="K438" s="59">
        <f t="shared" si="109"/>
        <v>0</v>
      </c>
      <c r="L438" s="59">
        <v>0</v>
      </c>
      <c r="M438" s="59">
        <v>41</v>
      </c>
      <c r="N438" s="59">
        <f t="shared" si="110"/>
        <v>41</v>
      </c>
      <c r="O438" s="15">
        <f t="shared" si="111"/>
        <v>0</v>
      </c>
      <c r="P438" s="87">
        <f t="shared" si="112"/>
        <v>39</v>
      </c>
      <c r="Q438" s="110">
        <v>0</v>
      </c>
      <c r="R438" s="59">
        <v>39</v>
      </c>
      <c r="S438" s="14">
        <v>0</v>
      </c>
      <c r="T438" s="59">
        <v>0</v>
      </c>
      <c r="U438" s="15">
        <f t="shared" si="105"/>
        <v>0</v>
      </c>
      <c r="V438" s="14">
        <v>0</v>
      </c>
      <c r="W438" s="15">
        <f t="shared" si="113"/>
        <v>0</v>
      </c>
      <c r="X438" s="14">
        <v>0</v>
      </c>
      <c r="Y438" s="75">
        <v>0</v>
      </c>
      <c r="Z438" s="87">
        <f t="shared" si="114"/>
        <v>0</v>
      </c>
      <c r="AA438" s="14">
        <f t="shared" si="115"/>
        <v>0</v>
      </c>
      <c r="AB438" s="75">
        <v>0</v>
      </c>
      <c r="AC438" s="75">
        <v>0</v>
      </c>
      <c r="AD438" s="59">
        <f t="shared" si="116"/>
        <v>0</v>
      </c>
      <c r="AE438" s="73">
        <v>0</v>
      </c>
      <c r="AF438" s="73">
        <v>0</v>
      </c>
      <c r="AG438" s="15">
        <f t="shared" si="117"/>
        <v>0</v>
      </c>
      <c r="AH438" s="16">
        <f t="shared" si="118"/>
        <v>0</v>
      </c>
      <c r="AI438" s="17">
        <f t="shared" si="119"/>
        <v>80</v>
      </c>
      <c r="AJ438" s="12">
        <f>VLOOKUP(A438,'PreK Proxy - Sept. 2024'!$A$2:$I$674,9,FALSE)</f>
        <v>113</v>
      </c>
      <c r="AK438" s="18">
        <f t="shared" si="120"/>
        <v>0.70796460176991149</v>
      </c>
    </row>
    <row r="439" spans="1:37" x14ac:dyDescent="0.35">
      <c r="A439" s="11" t="s">
        <v>885</v>
      </c>
      <c r="B439" s="12" t="s">
        <v>886</v>
      </c>
      <c r="C439" s="54" t="s">
        <v>1436</v>
      </c>
      <c r="D439" s="54" t="s">
        <v>251</v>
      </c>
      <c r="E439" s="66">
        <f t="shared" si="106"/>
        <v>346</v>
      </c>
      <c r="F439" s="13">
        <f t="shared" si="107"/>
        <v>137</v>
      </c>
      <c r="G439" s="67">
        <f t="shared" si="108"/>
        <v>209</v>
      </c>
      <c r="H439" s="64">
        <f t="shared" si="104"/>
        <v>321</v>
      </c>
      <c r="I439" s="80">
        <v>0</v>
      </c>
      <c r="J439" s="80">
        <v>209</v>
      </c>
      <c r="K439" s="59">
        <f t="shared" si="109"/>
        <v>209</v>
      </c>
      <c r="L439" s="59">
        <v>0</v>
      </c>
      <c r="M439" s="59">
        <v>112</v>
      </c>
      <c r="N439" s="59">
        <f t="shared" si="110"/>
        <v>112</v>
      </c>
      <c r="O439" s="15">
        <f t="shared" si="111"/>
        <v>60</v>
      </c>
      <c r="P439" s="87">
        <f t="shared" si="112"/>
        <v>0</v>
      </c>
      <c r="Q439" s="110">
        <v>0</v>
      </c>
      <c r="R439" s="59">
        <v>0</v>
      </c>
      <c r="S439" s="14">
        <v>15</v>
      </c>
      <c r="T439" s="59">
        <v>0</v>
      </c>
      <c r="U439" s="15">
        <f t="shared" si="105"/>
        <v>15</v>
      </c>
      <c r="V439" s="14">
        <v>0</v>
      </c>
      <c r="W439" s="15">
        <f t="shared" si="113"/>
        <v>0</v>
      </c>
      <c r="X439" s="14">
        <v>10</v>
      </c>
      <c r="Y439" s="75">
        <v>60</v>
      </c>
      <c r="Z439" s="87">
        <f t="shared" si="114"/>
        <v>70</v>
      </c>
      <c r="AA439" s="14">
        <f t="shared" si="115"/>
        <v>0</v>
      </c>
      <c r="AB439" s="75">
        <v>0</v>
      </c>
      <c r="AC439" s="75">
        <v>0</v>
      </c>
      <c r="AD439" s="59">
        <f t="shared" si="116"/>
        <v>0</v>
      </c>
      <c r="AE439" s="73">
        <v>0</v>
      </c>
      <c r="AF439" s="73">
        <v>0</v>
      </c>
      <c r="AG439" s="15">
        <f t="shared" si="117"/>
        <v>0</v>
      </c>
      <c r="AH439" s="16">
        <f t="shared" si="118"/>
        <v>209</v>
      </c>
      <c r="AI439" s="17">
        <f t="shared" si="119"/>
        <v>137</v>
      </c>
      <c r="AJ439" s="12">
        <f>VLOOKUP(A439,'PreK Proxy - Sept. 2024'!$A$2:$I$674,9,FALSE)</f>
        <v>393</v>
      </c>
      <c r="AK439" s="18">
        <f t="shared" si="120"/>
        <v>0.88040712468193383</v>
      </c>
    </row>
    <row r="440" spans="1:37" x14ac:dyDescent="0.35">
      <c r="A440" s="11" t="s">
        <v>887</v>
      </c>
      <c r="B440" s="12" t="s">
        <v>888</v>
      </c>
      <c r="C440" s="54" t="s">
        <v>1436</v>
      </c>
      <c r="D440" s="54" t="s">
        <v>251</v>
      </c>
      <c r="E440" s="66">
        <f t="shared" si="106"/>
        <v>66</v>
      </c>
      <c r="F440" s="13">
        <f t="shared" si="107"/>
        <v>53</v>
      </c>
      <c r="G440" s="67">
        <f t="shared" si="108"/>
        <v>13</v>
      </c>
      <c r="H440" s="64">
        <f t="shared" si="104"/>
        <v>47</v>
      </c>
      <c r="I440" s="80">
        <v>0</v>
      </c>
      <c r="J440" s="80">
        <v>13</v>
      </c>
      <c r="K440" s="59">
        <f t="shared" si="109"/>
        <v>13</v>
      </c>
      <c r="L440" s="59">
        <v>0</v>
      </c>
      <c r="M440" s="59">
        <v>34</v>
      </c>
      <c r="N440" s="59">
        <f t="shared" si="110"/>
        <v>34</v>
      </c>
      <c r="O440" s="15">
        <f t="shared" si="111"/>
        <v>0</v>
      </c>
      <c r="P440" s="87">
        <f t="shared" si="112"/>
        <v>0</v>
      </c>
      <c r="Q440" s="110">
        <v>0</v>
      </c>
      <c r="R440" s="59">
        <v>0</v>
      </c>
      <c r="S440" s="14">
        <v>19</v>
      </c>
      <c r="T440" s="59">
        <v>0</v>
      </c>
      <c r="U440" s="15">
        <f t="shared" si="105"/>
        <v>19</v>
      </c>
      <c r="V440" s="14">
        <v>0</v>
      </c>
      <c r="W440" s="15">
        <f t="shared" si="113"/>
        <v>0</v>
      </c>
      <c r="X440" s="14">
        <v>0</v>
      </c>
      <c r="Y440" s="75">
        <v>0</v>
      </c>
      <c r="Z440" s="87">
        <f t="shared" si="114"/>
        <v>0</v>
      </c>
      <c r="AA440" s="14">
        <f t="shared" si="115"/>
        <v>0</v>
      </c>
      <c r="AB440" s="75">
        <v>0</v>
      </c>
      <c r="AC440" s="75">
        <v>0</v>
      </c>
      <c r="AD440" s="59">
        <f t="shared" si="116"/>
        <v>0</v>
      </c>
      <c r="AE440" s="73">
        <v>0</v>
      </c>
      <c r="AF440" s="73">
        <v>0</v>
      </c>
      <c r="AG440" s="15">
        <f t="shared" si="117"/>
        <v>0</v>
      </c>
      <c r="AH440" s="16">
        <f t="shared" si="118"/>
        <v>13</v>
      </c>
      <c r="AI440" s="17">
        <f t="shared" si="119"/>
        <v>53</v>
      </c>
      <c r="AJ440" s="12">
        <f>VLOOKUP(A440,'PreK Proxy - Sept. 2024'!$A$2:$I$674,9,FALSE)</f>
        <v>124</v>
      </c>
      <c r="AK440" s="18">
        <f t="shared" si="120"/>
        <v>0.532258064516129</v>
      </c>
    </row>
    <row r="441" spans="1:37" x14ac:dyDescent="0.35">
      <c r="A441" s="11" t="s">
        <v>889</v>
      </c>
      <c r="B441" s="12" t="s">
        <v>890</v>
      </c>
      <c r="C441" s="54" t="s">
        <v>1436</v>
      </c>
      <c r="D441" s="54" t="s">
        <v>251</v>
      </c>
      <c r="E441" s="66">
        <f t="shared" si="106"/>
        <v>78</v>
      </c>
      <c r="F441" s="13">
        <f t="shared" si="107"/>
        <v>52</v>
      </c>
      <c r="G441" s="67">
        <f t="shared" si="108"/>
        <v>26</v>
      </c>
      <c r="H441" s="64">
        <f t="shared" si="104"/>
        <v>41</v>
      </c>
      <c r="I441" s="80">
        <v>0</v>
      </c>
      <c r="J441" s="80">
        <v>26</v>
      </c>
      <c r="K441" s="59">
        <f t="shared" si="109"/>
        <v>26</v>
      </c>
      <c r="L441" s="59">
        <v>0</v>
      </c>
      <c r="M441" s="59">
        <v>15</v>
      </c>
      <c r="N441" s="59">
        <f t="shared" si="110"/>
        <v>15</v>
      </c>
      <c r="O441" s="15">
        <f t="shared" si="111"/>
        <v>0</v>
      </c>
      <c r="P441" s="87">
        <f t="shared" si="112"/>
        <v>27</v>
      </c>
      <c r="Q441" s="110">
        <v>0</v>
      </c>
      <c r="R441" s="59">
        <v>27</v>
      </c>
      <c r="S441" s="14">
        <v>10</v>
      </c>
      <c r="T441" s="59">
        <v>0</v>
      </c>
      <c r="U441" s="15">
        <f t="shared" si="105"/>
        <v>10</v>
      </c>
      <c r="V441" s="14">
        <v>0</v>
      </c>
      <c r="W441" s="15">
        <f t="shared" si="113"/>
        <v>0</v>
      </c>
      <c r="X441" s="14">
        <v>0</v>
      </c>
      <c r="Y441" s="75">
        <v>0</v>
      </c>
      <c r="Z441" s="87">
        <f t="shared" si="114"/>
        <v>0</v>
      </c>
      <c r="AA441" s="14">
        <f t="shared" si="115"/>
        <v>0</v>
      </c>
      <c r="AB441" s="75">
        <v>0</v>
      </c>
      <c r="AC441" s="75">
        <v>0</v>
      </c>
      <c r="AD441" s="59">
        <f t="shared" si="116"/>
        <v>0</v>
      </c>
      <c r="AE441" s="73">
        <v>0</v>
      </c>
      <c r="AF441" s="73">
        <v>0</v>
      </c>
      <c r="AG441" s="15">
        <f t="shared" si="117"/>
        <v>0</v>
      </c>
      <c r="AH441" s="16">
        <f t="shared" si="118"/>
        <v>26</v>
      </c>
      <c r="AI441" s="17">
        <f t="shared" si="119"/>
        <v>52</v>
      </c>
      <c r="AJ441" s="12">
        <f>VLOOKUP(A441,'PreK Proxy - Sept. 2024'!$A$2:$I$674,9,FALSE)</f>
        <v>172</v>
      </c>
      <c r="AK441" s="18">
        <f t="shared" si="120"/>
        <v>0.45348837209302323</v>
      </c>
    </row>
    <row r="442" spans="1:37" x14ac:dyDescent="0.35">
      <c r="A442" s="11" t="s">
        <v>891</v>
      </c>
      <c r="B442" s="12" t="s">
        <v>892</v>
      </c>
      <c r="C442" s="54" t="s">
        <v>1436</v>
      </c>
      <c r="D442" s="54" t="s">
        <v>251</v>
      </c>
      <c r="E442" s="66">
        <f t="shared" si="106"/>
        <v>63</v>
      </c>
      <c r="F442" s="13">
        <f t="shared" si="107"/>
        <v>31</v>
      </c>
      <c r="G442" s="67">
        <f t="shared" si="108"/>
        <v>32</v>
      </c>
      <c r="H442" s="64">
        <f t="shared" si="104"/>
        <v>63</v>
      </c>
      <c r="I442" s="80">
        <v>0</v>
      </c>
      <c r="J442" s="80">
        <v>32</v>
      </c>
      <c r="K442" s="59">
        <f t="shared" si="109"/>
        <v>32</v>
      </c>
      <c r="L442" s="59">
        <v>0</v>
      </c>
      <c r="M442" s="59">
        <v>31</v>
      </c>
      <c r="N442" s="59">
        <f t="shared" si="110"/>
        <v>31</v>
      </c>
      <c r="O442" s="15">
        <f t="shared" si="111"/>
        <v>0</v>
      </c>
      <c r="P442" s="87">
        <f t="shared" si="112"/>
        <v>0</v>
      </c>
      <c r="Q442" s="110">
        <v>0</v>
      </c>
      <c r="R442" s="59">
        <v>0</v>
      </c>
      <c r="S442" s="14">
        <v>0</v>
      </c>
      <c r="T442" s="59">
        <v>0</v>
      </c>
      <c r="U442" s="15">
        <f t="shared" si="105"/>
        <v>0</v>
      </c>
      <c r="V442" s="14">
        <v>0</v>
      </c>
      <c r="W442" s="15">
        <f t="shared" si="113"/>
        <v>0</v>
      </c>
      <c r="X442" s="14">
        <v>0</v>
      </c>
      <c r="Y442" s="75">
        <v>0</v>
      </c>
      <c r="Z442" s="87">
        <f t="shared" si="114"/>
        <v>0</v>
      </c>
      <c r="AA442" s="14">
        <f t="shared" si="115"/>
        <v>0</v>
      </c>
      <c r="AB442" s="75">
        <v>0</v>
      </c>
      <c r="AC442" s="75">
        <v>0</v>
      </c>
      <c r="AD442" s="59">
        <f t="shared" si="116"/>
        <v>0</v>
      </c>
      <c r="AE442" s="73">
        <v>0</v>
      </c>
      <c r="AF442" s="73">
        <v>0</v>
      </c>
      <c r="AG442" s="15">
        <f t="shared" si="117"/>
        <v>0</v>
      </c>
      <c r="AH442" s="16">
        <f t="shared" si="118"/>
        <v>32</v>
      </c>
      <c r="AI442" s="17">
        <f t="shared" si="119"/>
        <v>31</v>
      </c>
      <c r="AJ442" s="12">
        <f>VLOOKUP(A442,'PreK Proxy - Sept. 2024'!$A$2:$I$674,9,FALSE)</f>
        <v>153</v>
      </c>
      <c r="AK442" s="18">
        <f t="shared" si="120"/>
        <v>0.41176470588235292</v>
      </c>
    </row>
    <row r="443" spans="1:37" x14ac:dyDescent="0.35">
      <c r="A443" s="11" t="s">
        <v>893</v>
      </c>
      <c r="B443" s="12" t="s">
        <v>1397</v>
      </c>
      <c r="C443" s="54" t="s">
        <v>1436</v>
      </c>
      <c r="D443" s="54" t="s">
        <v>251</v>
      </c>
      <c r="E443" s="66">
        <f t="shared" si="106"/>
        <v>122</v>
      </c>
      <c r="F443" s="13">
        <f t="shared" si="107"/>
        <v>116</v>
      </c>
      <c r="G443" s="67">
        <f t="shared" si="108"/>
        <v>6</v>
      </c>
      <c r="H443" s="64">
        <f t="shared" si="104"/>
        <v>50</v>
      </c>
      <c r="I443" s="80">
        <v>0</v>
      </c>
      <c r="J443" s="80">
        <v>5</v>
      </c>
      <c r="K443" s="59">
        <f t="shared" si="109"/>
        <v>5</v>
      </c>
      <c r="L443" s="59">
        <v>0</v>
      </c>
      <c r="M443" s="59">
        <v>45</v>
      </c>
      <c r="N443" s="59">
        <f t="shared" si="110"/>
        <v>45</v>
      </c>
      <c r="O443" s="15">
        <f t="shared" si="111"/>
        <v>0</v>
      </c>
      <c r="P443" s="87">
        <f t="shared" si="112"/>
        <v>52</v>
      </c>
      <c r="Q443" s="110">
        <v>1</v>
      </c>
      <c r="R443" s="59">
        <v>51</v>
      </c>
      <c r="S443" s="14">
        <v>20</v>
      </c>
      <c r="T443" s="59">
        <v>0</v>
      </c>
      <c r="U443" s="15">
        <f t="shared" si="105"/>
        <v>20</v>
      </c>
      <c r="V443" s="14">
        <v>0</v>
      </c>
      <c r="W443" s="15">
        <f t="shared" si="113"/>
        <v>0</v>
      </c>
      <c r="X443" s="14">
        <v>0</v>
      </c>
      <c r="Y443" s="75">
        <v>0</v>
      </c>
      <c r="Z443" s="87">
        <f t="shared" si="114"/>
        <v>0</v>
      </c>
      <c r="AA443" s="14">
        <f t="shared" si="115"/>
        <v>0</v>
      </c>
      <c r="AB443" s="75">
        <v>0</v>
      </c>
      <c r="AC443" s="75">
        <v>0</v>
      </c>
      <c r="AD443" s="59">
        <f t="shared" si="116"/>
        <v>0</v>
      </c>
      <c r="AE443" s="73">
        <v>0</v>
      </c>
      <c r="AF443" s="73">
        <v>0</v>
      </c>
      <c r="AG443" s="15">
        <f t="shared" si="117"/>
        <v>0</v>
      </c>
      <c r="AH443" s="16">
        <f t="shared" si="118"/>
        <v>6</v>
      </c>
      <c r="AI443" s="17">
        <f t="shared" si="119"/>
        <v>116</v>
      </c>
      <c r="AJ443" s="12">
        <f>VLOOKUP(A443,'PreK Proxy - Sept. 2024'!$A$2:$I$674,9,FALSE)</f>
        <v>462</v>
      </c>
      <c r="AK443" s="18">
        <f t="shared" si="120"/>
        <v>0.26406926406926406</v>
      </c>
    </row>
    <row r="444" spans="1:37" x14ac:dyDescent="0.35">
      <c r="A444" s="11" t="s">
        <v>894</v>
      </c>
      <c r="B444" s="12" t="s">
        <v>895</v>
      </c>
      <c r="C444" s="54" t="s">
        <v>1436</v>
      </c>
      <c r="D444" s="54" t="s">
        <v>251</v>
      </c>
      <c r="E444" s="66">
        <f t="shared" si="106"/>
        <v>2272</v>
      </c>
      <c r="F444" s="13">
        <f t="shared" si="107"/>
        <v>1719</v>
      </c>
      <c r="G444" s="67">
        <f t="shared" si="108"/>
        <v>553</v>
      </c>
      <c r="H444" s="64">
        <f t="shared" si="104"/>
        <v>2232</v>
      </c>
      <c r="I444" s="80">
        <v>0</v>
      </c>
      <c r="J444" s="80">
        <v>553</v>
      </c>
      <c r="K444" s="59">
        <f t="shared" si="109"/>
        <v>553</v>
      </c>
      <c r="L444" s="59">
        <v>0</v>
      </c>
      <c r="M444" s="59">
        <v>1679</v>
      </c>
      <c r="N444" s="59">
        <f t="shared" si="110"/>
        <v>1679</v>
      </c>
      <c r="O444" s="15">
        <f t="shared" si="111"/>
        <v>141</v>
      </c>
      <c r="P444" s="87">
        <f t="shared" si="112"/>
        <v>0</v>
      </c>
      <c r="Q444" s="110">
        <v>0</v>
      </c>
      <c r="R444" s="59">
        <v>0</v>
      </c>
      <c r="S444" s="14">
        <v>0</v>
      </c>
      <c r="T444" s="59">
        <v>141</v>
      </c>
      <c r="U444" s="15">
        <f t="shared" si="105"/>
        <v>141</v>
      </c>
      <c r="V444" s="14">
        <v>40</v>
      </c>
      <c r="W444" s="15">
        <f t="shared" si="113"/>
        <v>40</v>
      </c>
      <c r="X444" s="14">
        <v>0</v>
      </c>
      <c r="Y444" s="75">
        <v>0</v>
      </c>
      <c r="Z444" s="87">
        <f t="shared" si="114"/>
        <v>0</v>
      </c>
      <c r="AA444" s="14">
        <f t="shared" si="115"/>
        <v>0</v>
      </c>
      <c r="AB444" s="75">
        <v>0</v>
      </c>
      <c r="AC444" s="75">
        <v>0</v>
      </c>
      <c r="AD444" s="59">
        <f t="shared" si="116"/>
        <v>0</v>
      </c>
      <c r="AE444" s="73">
        <v>0</v>
      </c>
      <c r="AF444" s="73">
        <v>0</v>
      </c>
      <c r="AG444" s="15">
        <f t="shared" si="117"/>
        <v>0</v>
      </c>
      <c r="AH444" s="16">
        <f t="shared" si="118"/>
        <v>553</v>
      </c>
      <c r="AI444" s="17">
        <f t="shared" si="119"/>
        <v>1719</v>
      </c>
      <c r="AJ444" s="12">
        <f>VLOOKUP(A444,'PreK Proxy - Sept. 2024'!$A$2:$I$674,9,FALSE)</f>
        <v>3082</v>
      </c>
      <c r="AK444" s="18">
        <f t="shared" si="120"/>
        <v>0.73718364698247896</v>
      </c>
    </row>
    <row r="445" spans="1:37" x14ac:dyDescent="0.35">
      <c r="A445" s="11" t="s">
        <v>896</v>
      </c>
      <c r="B445" s="12" t="s">
        <v>897</v>
      </c>
      <c r="C445" s="54" t="s">
        <v>1435</v>
      </c>
      <c r="D445" s="54" t="s">
        <v>190</v>
      </c>
      <c r="E445" s="66">
        <f t="shared" si="106"/>
        <v>44</v>
      </c>
      <c r="F445" s="13">
        <f t="shared" si="107"/>
        <v>17</v>
      </c>
      <c r="G445" s="67">
        <f t="shared" si="108"/>
        <v>27</v>
      </c>
      <c r="H445" s="64">
        <f t="shared" si="104"/>
        <v>44</v>
      </c>
      <c r="I445" s="80">
        <v>0</v>
      </c>
      <c r="J445" s="80">
        <v>27</v>
      </c>
      <c r="K445" s="59">
        <f t="shared" si="109"/>
        <v>27</v>
      </c>
      <c r="L445" s="59">
        <v>0</v>
      </c>
      <c r="M445" s="59">
        <v>17</v>
      </c>
      <c r="N445" s="59">
        <f t="shared" si="110"/>
        <v>17</v>
      </c>
      <c r="O445" s="15">
        <f t="shared" si="111"/>
        <v>0</v>
      </c>
      <c r="P445" s="87">
        <f t="shared" si="112"/>
        <v>0</v>
      </c>
      <c r="Q445" s="110">
        <v>0</v>
      </c>
      <c r="R445" s="59">
        <v>0</v>
      </c>
      <c r="S445" s="14">
        <v>0</v>
      </c>
      <c r="T445" s="59">
        <v>0</v>
      </c>
      <c r="U445" s="15">
        <f t="shared" si="105"/>
        <v>0</v>
      </c>
      <c r="V445" s="14">
        <v>0</v>
      </c>
      <c r="W445" s="15">
        <f t="shared" si="113"/>
        <v>0</v>
      </c>
      <c r="X445" s="14">
        <v>0</v>
      </c>
      <c r="Y445" s="75">
        <v>0</v>
      </c>
      <c r="Z445" s="87">
        <f t="shared" si="114"/>
        <v>0</v>
      </c>
      <c r="AA445" s="14">
        <f t="shared" si="115"/>
        <v>0</v>
      </c>
      <c r="AB445" s="75">
        <v>0</v>
      </c>
      <c r="AC445" s="75">
        <v>0</v>
      </c>
      <c r="AD445" s="59">
        <f t="shared" si="116"/>
        <v>0</v>
      </c>
      <c r="AE445" s="73">
        <v>0</v>
      </c>
      <c r="AF445" s="73">
        <v>0</v>
      </c>
      <c r="AG445" s="15">
        <f t="shared" si="117"/>
        <v>0</v>
      </c>
      <c r="AH445" s="16">
        <f t="shared" si="118"/>
        <v>27</v>
      </c>
      <c r="AI445" s="17">
        <f t="shared" si="119"/>
        <v>17</v>
      </c>
      <c r="AJ445" s="12">
        <f>VLOOKUP(A445,'PreK Proxy - Sept. 2024'!$A$2:$I$674,9,FALSE)</f>
        <v>42</v>
      </c>
      <c r="AK445" s="18">
        <f t="shared" si="120"/>
        <v>1</v>
      </c>
    </row>
    <row r="446" spans="1:37" x14ac:dyDescent="0.35">
      <c r="A446" s="11" t="s">
        <v>898</v>
      </c>
      <c r="B446" s="12" t="s">
        <v>899</v>
      </c>
      <c r="C446" s="54" t="s">
        <v>1435</v>
      </c>
      <c r="D446" s="54" t="s">
        <v>190</v>
      </c>
      <c r="E446" s="66">
        <f t="shared" si="106"/>
        <v>49</v>
      </c>
      <c r="F446" s="13">
        <f t="shared" si="107"/>
        <v>0</v>
      </c>
      <c r="G446" s="67">
        <f t="shared" si="108"/>
        <v>49</v>
      </c>
      <c r="H446" s="64">
        <f t="shared" si="104"/>
        <v>49</v>
      </c>
      <c r="I446" s="80">
        <v>0</v>
      </c>
      <c r="J446" s="80">
        <v>49</v>
      </c>
      <c r="K446" s="59">
        <f t="shared" si="109"/>
        <v>49</v>
      </c>
      <c r="L446" s="59">
        <v>0</v>
      </c>
      <c r="M446" s="59">
        <v>0</v>
      </c>
      <c r="N446" s="59">
        <f t="shared" si="110"/>
        <v>0</v>
      </c>
      <c r="O446" s="15">
        <f t="shared" si="111"/>
        <v>0</v>
      </c>
      <c r="P446" s="87">
        <f t="shared" si="112"/>
        <v>0</v>
      </c>
      <c r="Q446" s="110">
        <v>0</v>
      </c>
      <c r="R446" s="59">
        <v>0</v>
      </c>
      <c r="S446" s="14">
        <v>0</v>
      </c>
      <c r="T446" s="59">
        <v>0</v>
      </c>
      <c r="U446" s="15">
        <f t="shared" si="105"/>
        <v>0</v>
      </c>
      <c r="V446" s="14">
        <v>0</v>
      </c>
      <c r="W446" s="15">
        <f t="shared" si="113"/>
        <v>0</v>
      </c>
      <c r="X446" s="14">
        <v>0</v>
      </c>
      <c r="Y446" s="75">
        <v>0</v>
      </c>
      <c r="Z446" s="87">
        <f t="shared" si="114"/>
        <v>0</v>
      </c>
      <c r="AA446" s="14">
        <f t="shared" si="115"/>
        <v>0</v>
      </c>
      <c r="AB446" s="75">
        <v>0</v>
      </c>
      <c r="AC446" s="75">
        <v>0</v>
      </c>
      <c r="AD446" s="59">
        <f t="shared" si="116"/>
        <v>0</v>
      </c>
      <c r="AE446" s="73">
        <v>0</v>
      </c>
      <c r="AF446" s="73">
        <v>0</v>
      </c>
      <c r="AG446" s="15">
        <f t="shared" si="117"/>
        <v>0</v>
      </c>
      <c r="AH446" s="16">
        <f t="shared" si="118"/>
        <v>49</v>
      </c>
      <c r="AI446" s="17">
        <f t="shared" si="119"/>
        <v>0</v>
      </c>
      <c r="AJ446" s="12">
        <f>VLOOKUP(A446,'PreK Proxy - Sept. 2024'!$A$2:$I$674,9,FALSE)</f>
        <v>66</v>
      </c>
      <c r="AK446" s="18">
        <f t="shared" si="120"/>
        <v>0.74242424242424243</v>
      </c>
    </row>
    <row r="447" spans="1:37" x14ac:dyDescent="0.35">
      <c r="A447" s="11" t="s">
        <v>900</v>
      </c>
      <c r="B447" s="12" t="s">
        <v>901</v>
      </c>
      <c r="C447" s="54" t="s">
        <v>1435</v>
      </c>
      <c r="D447" s="54" t="s">
        <v>190</v>
      </c>
      <c r="E447" s="66">
        <f t="shared" si="106"/>
        <v>22</v>
      </c>
      <c r="F447" s="13">
        <f t="shared" si="107"/>
        <v>22</v>
      </c>
      <c r="G447" s="67">
        <f t="shared" si="108"/>
        <v>0</v>
      </c>
      <c r="H447" s="64">
        <f t="shared" si="104"/>
        <v>22</v>
      </c>
      <c r="I447" s="80">
        <v>0</v>
      </c>
      <c r="J447" s="80">
        <v>0</v>
      </c>
      <c r="K447" s="59">
        <f t="shared" si="109"/>
        <v>0</v>
      </c>
      <c r="L447" s="59">
        <v>0</v>
      </c>
      <c r="M447" s="59">
        <v>22</v>
      </c>
      <c r="N447" s="59">
        <f t="shared" si="110"/>
        <v>22</v>
      </c>
      <c r="O447" s="15">
        <f t="shared" si="111"/>
        <v>0</v>
      </c>
      <c r="P447" s="87">
        <f t="shared" si="112"/>
        <v>0</v>
      </c>
      <c r="Q447" s="110">
        <v>0</v>
      </c>
      <c r="R447" s="59">
        <v>0</v>
      </c>
      <c r="S447" s="14">
        <v>0</v>
      </c>
      <c r="T447" s="59">
        <v>0</v>
      </c>
      <c r="U447" s="15">
        <f t="shared" si="105"/>
        <v>0</v>
      </c>
      <c r="V447" s="14">
        <v>0</v>
      </c>
      <c r="W447" s="15">
        <f t="shared" si="113"/>
        <v>0</v>
      </c>
      <c r="X447" s="14">
        <v>0</v>
      </c>
      <c r="Y447" s="75">
        <v>0</v>
      </c>
      <c r="Z447" s="87">
        <f t="shared" si="114"/>
        <v>0</v>
      </c>
      <c r="AA447" s="14">
        <f t="shared" si="115"/>
        <v>0</v>
      </c>
      <c r="AB447" s="75">
        <v>0</v>
      </c>
      <c r="AC447" s="75">
        <v>0</v>
      </c>
      <c r="AD447" s="59">
        <f t="shared" si="116"/>
        <v>0</v>
      </c>
      <c r="AE447" s="73">
        <v>0</v>
      </c>
      <c r="AF447" s="73">
        <v>0</v>
      </c>
      <c r="AG447" s="15">
        <f t="shared" si="117"/>
        <v>0</v>
      </c>
      <c r="AH447" s="16">
        <f t="shared" si="118"/>
        <v>0</v>
      </c>
      <c r="AI447" s="17">
        <f t="shared" si="119"/>
        <v>22</v>
      </c>
      <c r="AJ447" s="12">
        <f>VLOOKUP(A447,'PreK Proxy - Sept. 2024'!$A$2:$I$674,9,FALSE)</f>
        <v>13</v>
      </c>
      <c r="AK447" s="18">
        <f t="shared" si="120"/>
        <v>1</v>
      </c>
    </row>
    <row r="448" spans="1:37" x14ac:dyDescent="0.35">
      <c r="A448" s="11" t="s">
        <v>902</v>
      </c>
      <c r="B448" s="12" t="s">
        <v>903</v>
      </c>
      <c r="C448" s="54" t="s">
        <v>1435</v>
      </c>
      <c r="D448" s="54" t="s">
        <v>190</v>
      </c>
      <c r="E448" s="66">
        <f t="shared" si="106"/>
        <v>20</v>
      </c>
      <c r="F448" s="13">
        <f t="shared" si="107"/>
        <v>0</v>
      </c>
      <c r="G448" s="67">
        <f t="shared" si="108"/>
        <v>20</v>
      </c>
      <c r="H448" s="64">
        <f t="shared" si="104"/>
        <v>20</v>
      </c>
      <c r="I448" s="80">
        <v>0</v>
      </c>
      <c r="J448" s="80">
        <v>20</v>
      </c>
      <c r="K448" s="59">
        <f t="shared" si="109"/>
        <v>20</v>
      </c>
      <c r="L448" s="59">
        <v>0</v>
      </c>
      <c r="M448" s="59">
        <v>0</v>
      </c>
      <c r="N448" s="59">
        <f t="shared" si="110"/>
        <v>0</v>
      </c>
      <c r="O448" s="15">
        <f t="shared" si="111"/>
        <v>0</v>
      </c>
      <c r="P448" s="87">
        <f t="shared" si="112"/>
        <v>0</v>
      </c>
      <c r="Q448" s="110">
        <v>0</v>
      </c>
      <c r="R448" s="59">
        <v>0</v>
      </c>
      <c r="S448" s="14">
        <v>0</v>
      </c>
      <c r="T448" s="59">
        <v>0</v>
      </c>
      <c r="U448" s="15">
        <f t="shared" si="105"/>
        <v>0</v>
      </c>
      <c r="V448" s="14">
        <v>0</v>
      </c>
      <c r="W448" s="15">
        <f t="shared" si="113"/>
        <v>0</v>
      </c>
      <c r="X448" s="14">
        <v>0</v>
      </c>
      <c r="Y448" s="75">
        <v>0</v>
      </c>
      <c r="Z448" s="87">
        <f t="shared" si="114"/>
        <v>0</v>
      </c>
      <c r="AA448" s="14">
        <f t="shared" si="115"/>
        <v>0</v>
      </c>
      <c r="AB448" s="75">
        <v>0</v>
      </c>
      <c r="AC448" s="75">
        <v>0</v>
      </c>
      <c r="AD448" s="59">
        <f t="shared" si="116"/>
        <v>0</v>
      </c>
      <c r="AE448" s="73">
        <v>0</v>
      </c>
      <c r="AF448" s="73">
        <v>0</v>
      </c>
      <c r="AG448" s="15">
        <f t="shared" si="117"/>
        <v>0</v>
      </c>
      <c r="AH448" s="16">
        <f t="shared" si="118"/>
        <v>20</v>
      </c>
      <c r="AI448" s="17">
        <f t="shared" si="119"/>
        <v>0</v>
      </c>
      <c r="AJ448" s="12">
        <f>VLOOKUP(A448,'PreK Proxy - Sept. 2024'!$A$2:$I$674,9,FALSE)</f>
        <v>26</v>
      </c>
      <c r="AK448" s="18">
        <f t="shared" si="120"/>
        <v>0.76923076923076927</v>
      </c>
    </row>
    <row r="449" spans="1:37" x14ac:dyDescent="0.35">
      <c r="A449" s="11" t="s">
        <v>904</v>
      </c>
      <c r="B449" s="12" t="s">
        <v>905</v>
      </c>
      <c r="C449" s="54" t="s">
        <v>1435</v>
      </c>
      <c r="D449" s="54" t="s">
        <v>190</v>
      </c>
      <c r="E449" s="66">
        <f t="shared" si="106"/>
        <v>63</v>
      </c>
      <c r="F449" s="13">
        <f t="shared" si="107"/>
        <v>54</v>
      </c>
      <c r="G449" s="67">
        <f t="shared" si="108"/>
        <v>9</v>
      </c>
      <c r="H449" s="64">
        <f t="shared" si="104"/>
        <v>63</v>
      </c>
      <c r="I449" s="80">
        <v>0</v>
      </c>
      <c r="J449" s="80">
        <v>9</v>
      </c>
      <c r="K449" s="59">
        <f t="shared" si="109"/>
        <v>9</v>
      </c>
      <c r="L449" s="59">
        <v>0</v>
      </c>
      <c r="M449" s="59">
        <v>54</v>
      </c>
      <c r="N449" s="59">
        <f t="shared" si="110"/>
        <v>54</v>
      </c>
      <c r="O449" s="15">
        <f t="shared" si="111"/>
        <v>0</v>
      </c>
      <c r="P449" s="87">
        <f t="shared" si="112"/>
        <v>0</v>
      </c>
      <c r="Q449" s="110">
        <v>0</v>
      </c>
      <c r="R449" s="59">
        <v>0</v>
      </c>
      <c r="S449" s="14">
        <v>0</v>
      </c>
      <c r="T449" s="59">
        <v>0</v>
      </c>
      <c r="U449" s="15">
        <f t="shared" si="105"/>
        <v>0</v>
      </c>
      <c r="V449" s="14">
        <v>0</v>
      </c>
      <c r="W449" s="15">
        <f t="shared" si="113"/>
        <v>0</v>
      </c>
      <c r="X449" s="14">
        <v>0</v>
      </c>
      <c r="Y449" s="75">
        <v>0</v>
      </c>
      <c r="Z449" s="87">
        <f t="shared" si="114"/>
        <v>0</v>
      </c>
      <c r="AA449" s="14">
        <f t="shared" si="115"/>
        <v>0</v>
      </c>
      <c r="AB449" s="75">
        <v>0</v>
      </c>
      <c r="AC449" s="75">
        <v>0</v>
      </c>
      <c r="AD449" s="59">
        <f t="shared" si="116"/>
        <v>0</v>
      </c>
      <c r="AE449" s="73">
        <v>0</v>
      </c>
      <c r="AF449" s="73">
        <v>0</v>
      </c>
      <c r="AG449" s="15">
        <f t="shared" si="117"/>
        <v>0</v>
      </c>
      <c r="AH449" s="16">
        <f t="shared" si="118"/>
        <v>9</v>
      </c>
      <c r="AI449" s="17">
        <f t="shared" si="119"/>
        <v>54</v>
      </c>
      <c r="AJ449" s="12">
        <f>VLOOKUP(A449,'PreK Proxy - Sept. 2024'!$A$2:$I$674,9,FALSE)</f>
        <v>73</v>
      </c>
      <c r="AK449" s="18">
        <f t="shared" si="120"/>
        <v>0.86301369863013699</v>
      </c>
    </row>
    <row r="450" spans="1:37" x14ac:dyDescent="0.35">
      <c r="A450" s="11" t="s">
        <v>906</v>
      </c>
      <c r="B450" s="12" t="s">
        <v>907</v>
      </c>
      <c r="C450" s="54" t="s">
        <v>1435</v>
      </c>
      <c r="D450" s="54" t="s">
        <v>190</v>
      </c>
      <c r="E450" s="66">
        <f t="shared" si="106"/>
        <v>14</v>
      </c>
      <c r="F450" s="13">
        <f t="shared" si="107"/>
        <v>14</v>
      </c>
      <c r="G450" s="67">
        <f t="shared" si="108"/>
        <v>0</v>
      </c>
      <c r="H450" s="64">
        <f t="shared" si="104"/>
        <v>14</v>
      </c>
      <c r="I450" s="80">
        <v>0</v>
      </c>
      <c r="J450" s="80">
        <v>0</v>
      </c>
      <c r="K450" s="59">
        <f t="shared" si="109"/>
        <v>0</v>
      </c>
      <c r="L450" s="59">
        <v>0</v>
      </c>
      <c r="M450" s="59">
        <v>14</v>
      </c>
      <c r="N450" s="59">
        <f t="shared" si="110"/>
        <v>14</v>
      </c>
      <c r="O450" s="15">
        <f t="shared" si="111"/>
        <v>0</v>
      </c>
      <c r="P450" s="87">
        <f t="shared" si="112"/>
        <v>0</v>
      </c>
      <c r="Q450" s="110">
        <v>0</v>
      </c>
      <c r="R450" s="59">
        <v>0</v>
      </c>
      <c r="S450" s="14">
        <v>0</v>
      </c>
      <c r="T450" s="59">
        <v>0</v>
      </c>
      <c r="U450" s="15">
        <f t="shared" si="105"/>
        <v>0</v>
      </c>
      <c r="V450" s="14">
        <v>0</v>
      </c>
      <c r="W450" s="15">
        <f t="shared" si="113"/>
        <v>0</v>
      </c>
      <c r="X450" s="14">
        <v>0</v>
      </c>
      <c r="Y450" s="75">
        <v>0</v>
      </c>
      <c r="Z450" s="87">
        <f t="shared" si="114"/>
        <v>0</v>
      </c>
      <c r="AA450" s="14">
        <f t="shared" si="115"/>
        <v>0</v>
      </c>
      <c r="AB450" s="75">
        <v>0</v>
      </c>
      <c r="AC450" s="75">
        <v>0</v>
      </c>
      <c r="AD450" s="59">
        <f t="shared" si="116"/>
        <v>0</v>
      </c>
      <c r="AE450" s="73">
        <v>0</v>
      </c>
      <c r="AF450" s="73">
        <v>0</v>
      </c>
      <c r="AG450" s="15">
        <f t="shared" si="117"/>
        <v>0</v>
      </c>
      <c r="AH450" s="16">
        <f t="shared" si="118"/>
        <v>0</v>
      </c>
      <c r="AI450" s="17">
        <f t="shared" si="119"/>
        <v>14</v>
      </c>
      <c r="AJ450" s="12">
        <f>VLOOKUP(A450,'PreK Proxy - Sept. 2024'!$A$2:$I$674,9,FALSE)</f>
        <v>18</v>
      </c>
      <c r="AK450" s="18">
        <f t="shared" si="120"/>
        <v>0.77777777777777779</v>
      </c>
    </row>
    <row r="451" spans="1:37" x14ac:dyDescent="0.35">
      <c r="A451" s="11" t="s">
        <v>908</v>
      </c>
      <c r="B451" s="12" t="s">
        <v>909</v>
      </c>
      <c r="C451" s="54" t="s">
        <v>1435</v>
      </c>
      <c r="D451" s="54" t="s">
        <v>190</v>
      </c>
      <c r="E451" s="66">
        <f t="shared" si="106"/>
        <v>22</v>
      </c>
      <c r="F451" s="13">
        <f t="shared" si="107"/>
        <v>22</v>
      </c>
      <c r="G451" s="67">
        <f t="shared" si="108"/>
        <v>0</v>
      </c>
      <c r="H451" s="64">
        <f t="shared" ref="H451:H514" si="121">K451+N451</f>
        <v>22</v>
      </c>
      <c r="I451" s="80">
        <v>0</v>
      </c>
      <c r="J451" s="80">
        <v>0</v>
      </c>
      <c r="K451" s="59">
        <f t="shared" si="109"/>
        <v>0</v>
      </c>
      <c r="L451" s="59">
        <v>0</v>
      </c>
      <c r="M451" s="59">
        <v>22</v>
      </c>
      <c r="N451" s="59">
        <f t="shared" si="110"/>
        <v>22</v>
      </c>
      <c r="O451" s="15">
        <f t="shared" si="111"/>
        <v>0</v>
      </c>
      <c r="P451" s="87">
        <f t="shared" si="112"/>
        <v>0</v>
      </c>
      <c r="Q451" s="110">
        <v>0</v>
      </c>
      <c r="R451" s="59">
        <v>0</v>
      </c>
      <c r="S451" s="14">
        <v>0</v>
      </c>
      <c r="T451" s="59">
        <v>0</v>
      </c>
      <c r="U451" s="15">
        <f t="shared" si="105"/>
        <v>0</v>
      </c>
      <c r="V451" s="14">
        <v>0</v>
      </c>
      <c r="W451" s="15">
        <f t="shared" si="113"/>
        <v>0</v>
      </c>
      <c r="X451" s="14">
        <v>0</v>
      </c>
      <c r="Y451" s="75">
        <v>0</v>
      </c>
      <c r="Z451" s="87">
        <f t="shared" si="114"/>
        <v>0</v>
      </c>
      <c r="AA451" s="14">
        <f t="shared" si="115"/>
        <v>0</v>
      </c>
      <c r="AB451" s="75">
        <v>0</v>
      </c>
      <c r="AC451" s="75">
        <v>0</v>
      </c>
      <c r="AD451" s="59">
        <f t="shared" si="116"/>
        <v>0</v>
      </c>
      <c r="AE451" s="73">
        <v>0</v>
      </c>
      <c r="AF451" s="73">
        <v>0</v>
      </c>
      <c r="AG451" s="15">
        <f t="shared" si="117"/>
        <v>0</v>
      </c>
      <c r="AH451" s="16">
        <f t="shared" si="118"/>
        <v>0</v>
      </c>
      <c r="AI451" s="17">
        <f t="shared" si="119"/>
        <v>22</v>
      </c>
      <c r="AJ451" s="12">
        <f>VLOOKUP(A451,'PreK Proxy - Sept. 2024'!$A$2:$I$674,9,FALSE)</f>
        <v>16</v>
      </c>
      <c r="AK451" s="18">
        <f t="shared" si="120"/>
        <v>1</v>
      </c>
    </row>
    <row r="452" spans="1:37" x14ac:dyDescent="0.35">
      <c r="A452" s="11" t="s">
        <v>910</v>
      </c>
      <c r="B452" s="12" t="s">
        <v>911</v>
      </c>
      <c r="C452" s="54" t="s">
        <v>1435</v>
      </c>
      <c r="D452" s="54" t="s">
        <v>190</v>
      </c>
      <c r="E452" s="66">
        <f t="shared" si="106"/>
        <v>24</v>
      </c>
      <c r="F452" s="13">
        <f t="shared" si="107"/>
        <v>0</v>
      </c>
      <c r="G452" s="67">
        <f t="shared" si="108"/>
        <v>24</v>
      </c>
      <c r="H452" s="64">
        <f t="shared" si="121"/>
        <v>24</v>
      </c>
      <c r="I452" s="80">
        <v>0</v>
      </c>
      <c r="J452" s="80">
        <v>24</v>
      </c>
      <c r="K452" s="59">
        <f t="shared" si="109"/>
        <v>24</v>
      </c>
      <c r="L452" s="59">
        <v>0</v>
      </c>
      <c r="M452" s="59">
        <v>0</v>
      </c>
      <c r="N452" s="59">
        <f t="shared" si="110"/>
        <v>0</v>
      </c>
      <c r="O452" s="15">
        <f t="shared" si="111"/>
        <v>0</v>
      </c>
      <c r="P452" s="87">
        <f t="shared" si="112"/>
        <v>0</v>
      </c>
      <c r="Q452" s="110">
        <v>0</v>
      </c>
      <c r="R452" s="59">
        <v>0</v>
      </c>
      <c r="S452" s="14">
        <v>0</v>
      </c>
      <c r="T452" s="59">
        <v>0</v>
      </c>
      <c r="U452" s="15">
        <f t="shared" ref="U452:U515" si="122">S452+T452</f>
        <v>0</v>
      </c>
      <c r="V452" s="14">
        <v>0</v>
      </c>
      <c r="W452" s="15">
        <f t="shared" si="113"/>
        <v>0</v>
      </c>
      <c r="X452" s="14">
        <v>0</v>
      </c>
      <c r="Y452" s="75">
        <v>0</v>
      </c>
      <c r="Z452" s="87">
        <f t="shared" si="114"/>
        <v>0</v>
      </c>
      <c r="AA452" s="14">
        <f t="shared" si="115"/>
        <v>0</v>
      </c>
      <c r="AB452" s="75">
        <v>0</v>
      </c>
      <c r="AC452" s="75">
        <v>0</v>
      </c>
      <c r="AD452" s="59">
        <f t="shared" si="116"/>
        <v>0</v>
      </c>
      <c r="AE452" s="73">
        <v>0</v>
      </c>
      <c r="AF452" s="73">
        <v>0</v>
      </c>
      <c r="AG452" s="15">
        <f t="shared" si="117"/>
        <v>0</v>
      </c>
      <c r="AH452" s="16">
        <f t="shared" si="118"/>
        <v>24</v>
      </c>
      <c r="AI452" s="17">
        <f t="shared" si="119"/>
        <v>0</v>
      </c>
      <c r="AJ452" s="12">
        <f>VLOOKUP(A452,'PreK Proxy - Sept. 2024'!$A$2:$I$674,9,FALSE)</f>
        <v>39</v>
      </c>
      <c r="AK452" s="18">
        <f t="shared" si="120"/>
        <v>0.61538461538461542</v>
      </c>
    </row>
    <row r="453" spans="1:37" x14ac:dyDescent="0.35">
      <c r="A453" s="11" t="s">
        <v>912</v>
      </c>
      <c r="B453" s="12" t="s">
        <v>913</v>
      </c>
      <c r="C453" s="54" t="s">
        <v>1435</v>
      </c>
      <c r="D453" s="54" t="s">
        <v>190</v>
      </c>
      <c r="E453" s="66">
        <f t="shared" ref="E453:E516" si="123">F453+G453</f>
        <v>26</v>
      </c>
      <c r="F453" s="13">
        <f t="shared" ref="F453:F516" si="124">N453+R453+S453+V453+X453+AG453</f>
        <v>0</v>
      </c>
      <c r="G453" s="67">
        <f t="shared" ref="G453:G516" si="125">K453+Q453+AD453</f>
        <v>26</v>
      </c>
      <c r="H453" s="64">
        <f t="shared" si="121"/>
        <v>26</v>
      </c>
      <c r="I453" s="80">
        <v>0</v>
      </c>
      <c r="J453" s="80">
        <v>26</v>
      </c>
      <c r="K453" s="59">
        <f t="shared" ref="K453:K516" si="126">I453+J453</f>
        <v>26</v>
      </c>
      <c r="L453" s="59">
        <v>0</v>
      </c>
      <c r="M453" s="59">
        <v>0</v>
      </c>
      <c r="N453" s="59">
        <f t="shared" ref="N453:N516" si="127">L453+M453</f>
        <v>0</v>
      </c>
      <c r="O453" s="15">
        <f t="shared" ref="O453:O516" si="128">T453+Y453</f>
        <v>0</v>
      </c>
      <c r="P453" s="87">
        <f t="shared" ref="P453:P516" si="129">Q453+R453</f>
        <v>0</v>
      </c>
      <c r="Q453" s="110">
        <v>0</v>
      </c>
      <c r="R453" s="59">
        <v>0</v>
      </c>
      <c r="S453" s="14">
        <v>0</v>
      </c>
      <c r="T453" s="59">
        <v>0</v>
      </c>
      <c r="U453" s="15">
        <f t="shared" si="122"/>
        <v>0</v>
      </c>
      <c r="V453" s="14">
        <v>0</v>
      </c>
      <c r="W453" s="15">
        <f t="shared" ref="W453:W516" si="130">V453</f>
        <v>0</v>
      </c>
      <c r="X453" s="14">
        <v>0</v>
      </c>
      <c r="Y453" s="75">
        <v>0</v>
      </c>
      <c r="Z453" s="87">
        <f t="shared" ref="Z453:Z516" si="131">X453+Y453</f>
        <v>0</v>
      </c>
      <c r="AA453" s="14">
        <f t="shared" ref="AA453:AA516" si="132">AD453+AG453</f>
        <v>0</v>
      </c>
      <c r="AB453" s="75">
        <v>0</v>
      </c>
      <c r="AC453" s="75">
        <v>0</v>
      </c>
      <c r="AD453" s="59">
        <f t="shared" ref="AD453:AD516" si="133">AB453+AC453</f>
        <v>0</v>
      </c>
      <c r="AE453" s="73">
        <v>0</v>
      </c>
      <c r="AF453" s="73">
        <v>0</v>
      </c>
      <c r="AG453" s="15">
        <f t="shared" ref="AG453:AG516" si="134">AE453+AF453</f>
        <v>0</v>
      </c>
      <c r="AH453" s="16">
        <f t="shared" ref="AH453:AH516" si="135">J453+Q453+AC453</f>
        <v>26</v>
      </c>
      <c r="AI453" s="17">
        <f t="shared" ref="AI453:AI516" si="136">M453+R453+S453+V453+X453+AF453</f>
        <v>0</v>
      </c>
      <c r="AJ453" s="12">
        <f>VLOOKUP(A453,'PreK Proxy - Sept. 2024'!$A$2:$I$674,9,FALSE)</f>
        <v>40</v>
      </c>
      <c r="AK453" s="18">
        <f t="shared" ref="AK453:AK516" si="137">IFERROR(MIN(100%,((AI453+AH453)/AJ453)),0)</f>
        <v>0.65</v>
      </c>
    </row>
    <row r="454" spans="1:37" x14ac:dyDescent="0.35">
      <c r="A454" s="11" t="s">
        <v>914</v>
      </c>
      <c r="B454" s="12" t="s">
        <v>915</v>
      </c>
      <c r="C454" s="54" t="s">
        <v>1435</v>
      </c>
      <c r="D454" s="54" t="s">
        <v>190</v>
      </c>
      <c r="E454" s="66">
        <f t="shared" si="123"/>
        <v>101</v>
      </c>
      <c r="F454" s="13">
        <f t="shared" si="124"/>
        <v>101</v>
      </c>
      <c r="G454" s="67">
        <f t="shared" si="125"/>
        <v>0</v>
      </c>
      <c r="H454" s="64">
        <f t="shared" si="121"/>
        <v>63</v>
      </c>
      <c r="I454" s="80">
        <v>0</v>
      </c>
      <c r="J454" s="80">
        <v>0</v>
      </c>
      <c r="K454" s="59">
        <f t="shared" si="126"/>
        <v>0</v>
      </c>
      <c r="L454" s="59">
        <v>1</v>
      </c>
      <c r="M454" s="59">
        <v>62</v>
      </c>
      <c r="N454" s="59">
        <f t="shared" si="127"/>
        <v>63</v>
      </c>
      <c r="O454" s="15">
        <f t="shared" si="128"/>
        <v>0</v>
      </c>
      <c r="P454" s="87">
        <f t="shared" si="129"/>
        <v>38</v>
      </c>
      <c r="Q454" s="110">
        <v>0</v>
      </c>
      <c r="R454" s="59">
        <v>38</v>
      </c>
      <c r="S454" s="14">
        <v>0</v>
      </c>
      <c r="T454" s="59">
        <v>0</v>
      </c>
      <c r="U454" s="15">
        <f t="shared" si="122"/>
        <v>0</v>
      </c>
      <c r="V454" s="14">
        <v>0</v>
      </c>
      <c r="W454" s="15">
        <f t="shared" si="130"/>
        <v>0</v>
      </c>
      <c r="X454" s="14">
        <v>0</v>
      </c>
      <c r="Y454" s="75">
        <v>0</v>
      </c>
      <c r="Z454" s="87">
        <f t="shared" si="131"/>
        <v>0</v>
      </c>
      <c r="AA454" s="14">
        <f t="shared" si="132"/>
        <v>0</v>
      </c>
      <c r="AB454" s="75">
        <v>0</v>
      </c>
      <c r="AC454" s="75">
        <v>0</v>
      </c>
      <c r="AD454" s="59">
        <f t="shared" si="133"/>
        <v>0</v>
      </c>
      <c r="AE454" s="73">
        <v>0</v>
      </c>
      <c r="AF454" s="73">
        <v>0</v>
      </c>
      <c r="AG454" s="15">
        <f t="shared" si="134"/>
        <v>0</v>
      </c>
      <c r="AH454" s="16">
        <f t="shared" si="135"/>
        <v>0</v>
      </c>
      <c r="AI454" s="17">
        <f t="shared" si="136"/>
        <v>100</v>
      </c>
      <c r="AJ454" s="12">
        <f>VLOOKUP(A454,'PreK Proxy - Sept. 2024'!$A$2:$I$674,9,FALSE)</f>
        <v>153</v>
      </c>
      <c r="AK454" s="18">
        <f t="shared" si="137"/>
        <v>0.65359477124183007</v>
      </c>
    </row>
    <row r="455" spans="1:37" x14ac:dyDescent="0.35">
      <c r="A455" s="11" t="s">
        <v>916</v>
      </c>
      <c r="B455" s="12" t="s">
        <v>917</v>
      </c>
      <c r="C455" s="54" t="s">
        <v>1435</v>
      </c>
      <c r="D455" s="54" t="s">
        <v>190</v>
      </c>
      <c r="E455" s="66">
        <f t="shared" si="123"/>
        <v>17</v>
      </c>
      <c r="F455" s="13">
        <f t="shared" si="124"/>
        <v>17</v>
      </c>
      <c r="G455" s="67">
        <f t="shared" si="125"/>
        <v>0</v>
      </c>
      <c r="H455" s="64">
        <f t="shared" si="121"/>
        <v>17</v>
      </c>
      <c r="I455" s="80">
        <v>0</v>
      </c>
      <c r="J455" s="80">
        <v>0</v>
      </c>
      <c r="K455" s="59">
        <f t="shared" si="126"/>
        <v>0</v>
      </c>
      <c r="L455" s="59">
        <v>0</v>
      </c>
      <c r="M455" s="59">
        <v>17</v>
      </c>
      <c r="N455" s="59">
        <f t="shared" si="127"/>
        <v>17</v>
      </c>
      <c r="O455" s="15">
        <f t="shared" si="128"/>
        <v>0</v>
      </c>
      <c r="P455" s="87">
        <f t="shared" si="129"/>
        <v>0</v>
      </c>
      <c r="Q455" s="110">
        <v>0</v>
      </c>
      <c r="R455" s="59">
        <v>0</v>
      </c>
      <c r="S455" s="14">
        <v>0</v>
      </c>
      <c r="T455" s="59">
        <v>0</v>
      </c>
      <c r="U455" s="15">
        <f t="shared" si="122"/>
        <v>0</v>
      </c>
      <c r="V455" s="14">
        <v>0</v>
      </c>
      <c r="W455" s="15">
        <f t="shared" si="130"/>
        <v>0</v>
      </c>
      <c r="X455" s="14">
        <v>0</v>
      </c>
      <c r="Y455" s="75">
        <v>0</v>
      </c>
      <c r="Z455" s="87">
        <f t="shared" si="131"/>
        <v>0</v>
      </c>
      <c r="AA455" s="14">
        <f t="shared" si="132"/>
        <v>0</v>
      </c>
      <c r="AB455" s="75">
        <v>0</v>
      </c>
      <c r="AC455" s="75">
        <v>0</v>
      </c>
      <c r="AD455" s="59">
        <f t="shared" si="133"/>
        <v>0</v>
      </c>
      <c r="AE455" s="73">
        <v>0</v>
      </c>
      <c r="AF455" s="73">
        <v>0</v>
      </c>
      <c r="AG455" s="15">
        <f t="shared" si="134"/>
        <v>0</v>
      </c>
      <c r="AH455" s="16">
        <f t="shared" si="135"/>
        <v>0</v>
      </c>
      <c r="AI455" s="17">
        <f t="shared" si="136"/>
        <v>17</v>
      </c>
      <c r="AJ455" s="12">
        <f>VLOOKUP(A455,'PreK Proxy - Sept. 2024'!$A$2:$I$674,9,FALSE)</f>
        <v>17</v>
      </c>
      <c r="AK455" s="18">
        <f t="shared" si="137"/>
        <v>1</v>
      </c>
    </row>
    <row r="456" spans="1:37" x14ac:dyDescent="0.35">
      <c r="A456" s="11" t="s">
        <v>918</v>
      </c>
      <c r="B456" s="12" t="s">
        <v>919</v>
      </c>
      <c r="C456" s="54" t="s">
        <v>1435</v>
      </c>
      <c r="D456" s="54" t="s">
        <v>190</v>
      </c>
      <c r="E456" s="66">
        <f t="shared" si="123"/>
        <v>47</v>
      </c>
      <c r="F456" s="13">
        <f t="shared" si="124"/>
        <v>43</v>
      </c>
      <c r="G456" s="67">
        <f t="shared" si="125"/>
        <v>4</v>
      </c>
      <c r="H456" s="64">
        <f t="shared" si="121"/>
        <v>47</v>
      </c>
      <c r="I456" s="80">
        <v>0</v>
      </c>
      <c r="J456" s="80">
        <v>4</v>
      </c>
      <c r="K456" s="59">
        <f t="shared" si="126"/>
        <v>4</v>
      </c>
      <c r="L456" s="59">
        <v>0</v>
      </c>
      <c r="M456" s="59">
        <v>43</v>
      </c>
      <c r="N456" s="59">
        <f t="shared" si="127"/>
        <v>43</v>
      </c>
      <c r="O456" s="15">
        <f t="shared" si="128"/>
        <v>0</v>
      </c>
      <c r="P456" s="87">
        <f t="shared" si="129"/>
        <v>0</v>
      </c>
      <c r="Q456" s="110">
        <v>0</v>
      </c>
      <c r="R456" s="59">
        <v>0</v>
      </c>
      <c r="S456" s="14">
        <v>0</v>
      </c>
      <c r="T456" s="59">
        <v>0</v>
      </c>
      <c r="U456" s="15">
        <f t="shared" si="122"/>
        <v>0</v>
      </c>
      <c r="V456" s="14">
        <v>0</v>
      </c>
      <c r="W456" s="15">
        <f t="shared" si="130"/>
        <v>0</v>
      </c>
      <c r="X456" s="14">
        <v>0</v>
      </c>
      <c r="Y456" s="75">
        <v>0</v>
      </c>
      <c r="Z456" s="87">
        <f t="shared" si="131"/>
        <v>0</v>
      </c>
      <c r="AA456" s="14">
        <f t="shared" si="132"/>
        <v>0</v>
      </c>
      <c r="AB456" s="75">
        <v>0</v>
      </c>
      <c r="AC456" s="75">
        <v>0</v>
      </c>
      <c r="AD456" s="59">
        <f t="shared" si="133"/>
        <v>0</v>
      </c>
      <c r="AE456" s="73">
        <v>0</v>
      </c>
      <c r="AF456" s="73">
        <v>0</v>
      </c>
      <c r="AG456" s="15">
        <f t="shared" si="134"/>
        <v>0</v>
      </c>
      <c r="AH456" s="16">
        <f t="shared" si="135"/>
        <v>4</v>
      </c>
      <c r="AI456" s="17">
        <f t="shared" si="136"/>
        <v>43</v>
      </c>
      <c r="AJ456" s="12">
        <f>VLOOKUP(A456,'PreK Proxy - Sept. 2024'!$A$2:$I$674,9,FALSE)</f>
        <v>46</v>
      </c>
      <c r="AK456" s="18">
        <f t="shared" si="137"/>
        <v>1</v>
      </c>
    </row>
    <row r="457" spans="1:37" x14ac:dyDescent="0.35">
      <c r="A457" s="11" t="s">
        <v>920</v>
      </c>
      <c r="B457" s="12" t="s">
        <v>921</v>
      </c>
      <c r="C457" s="54" t="s">
        <v>1435</v>
      </c>
      <c r="D457" s="54" t="s">
        <v>190</v>
      </c>
      <c r="E457" s="66">
        <f t="shared" si="123"/>
        <v>67</v>
      </c>
      <c r="F457" s="13">
        <f t="shared" si="124"/>
        <v>67</v>
      </c>
      <c r="G457" s="67">
        <f t="shared" si="125"/>
        <v>0</v>
      </c>
      <c r="H457" s="64">
        <f t="shared" si="121"/>
        <v>67</v>
      </c>
      <c r="I457" s="80">
        <v>0</v>
      </c>
      <c r="J457" s="80">
        <v>0</v>
      </c>
      <c r="K457" s="59">
        <f t="shared" si="126"/>
        <v>0</v>
      </c>
      <c r="L457" s="59">
        <v>0</v>
      </c>
      <c r="M457" s="59">
        <v>67</v>
      </c>
      <c r="N457" s="59">
        <f t="shared" si="127"/>
        <v>67</v>
      </c>
      <c r="O457" s="15">
        <f t="shared" si="128"/>
        <v>0</v>
      </c>
      <c r="P457" s="87">
        <f t="shared" si="129"/>
        <v>0</v>
      </c>
      <c r="Q457" s="110">
        <v>0</v>
      </c>
      <c r="R457" s="59">
        <v>0</v>
      </c>
      <c r="S457" s="14">
        <v>0</v>
      </c>
      <c r="T457" s="59">
        <v>0</v>
      </c>
      <c r="U457" s="15">
        <f t="shared" si="122"/>
        <v>0</v>
      </c>
      <c r="V457" s="14">
        <v>0</v>
      </c>
      <c r="W457" s="15">
        <f t="shared" si="130"/>
        <v>0</v>
      </c>
      <c r="X457" s="14">
        <v>0</v>
      </c>
      <c r="Y457" s="75">
        <v>0</v>
      </c>
      <c r="Z457" s="87">
        <f t="shared" si="131"/>
        <v>0</v>
      </c>
      <c r="AA457" s="14">
        <f t="shared" si="132"/>
        <v>0</v>
      </c>
      <c r="AB457" s="75">
        <v>0</v>
      </c>
      <c r="AC457" s="75">
        <v>0</v>
      </c>
      <c r="AD457" s="59">
        <f t="shared" si="133"/>
        <v>0</v>
      </c>
      <c r="AE457" s="73">
        <v>0</v>
      </c>
      <c r="AF457" s="73">
        <v>0</v>
      </c>
      <c r="AG457" s="15">
        <f t="shared" si="134"/>
        <v>0</v>
      </c>
      <c r="AH457" s="16">
        <f t="shared" si="135"/>
        <v>0</v>
      </c>
      <c r="AI457" s="17">
        <f t="shared" si="136"/>
        <v>67</v>
      </c>
      <c r="AJ457" s="12">
        <f>VLOOKUP(A457,'PreK Proxy - Sept. 2024'!$A$2:$I$674,9,FALSE)</f>
        <v>106</v>
      </c>
      <c r="AK457" s="18">
        <f t="shared" si="137"/>
        <v>0.63207547169811318</v>
      </c>
    </row>
    <row r="458" spans="1:37" x14ac:dyDescent="0.35">
      <c r="A458" s="11" t="s">
        <v>922</v>
      </c>
      <c r="B458" s="12" t="s">
        <v>923</v>
      </c>
      <c r="C458" s="54" t="s">
        <v>1435</v>
      </c>
      <c r="D458" s="54" t="s">
        <v>190</v>
      </c>
      <c r="E458" s="66">
        <f t="shared" si="123"/>
        <v>29</v>
      </c>
      <c r="F458" s="13">
        <f t="shared" si="124"/>
        <v>0</v>
      </c>
      <c r="G458" s="67">
        <f t="shared" si="125"/>
        <v>29</v>
      </c>
      <c r="H458" s="64">
        <f t="shared" si="121"/>
        <v>29</v>
      </c>
      <c r="I458" s="80">
        <v>0</v>
      </c>
      <c r="J458" s="80">
        <v>29</v>
      </c>
      <c r="K458" s="59">
        <f t="shared" si="126"/>
        <v>29</v>
      </c>
      <c r="L458" s="59">
        <v>0</v>
      </c>
      <c r="M458" s="59">
        <v>0</v>
      </c>
      <c r="N458" s="59">
        <f t="shared" si="127"/>
        <v>0</v>
      </c>
      <c r="O458" s="15">
        <f t="shared" si="128"/>
        <v>0</v>
      </c>
      <c r="P458" s="87">
        <f t="shared" si="129"/>
        <v>0</v>
      </c>
      <c r="Q458" s="110">
        <v>0</v>
      </c>
      <c r="R458" s="59">
        <v>0</v>
      </c>
      <c r="S458" s="14">
        <v>0</v>
      </c>
      <c r="T458" s="59">
        <v>0</v>
      </c>
      <c r="U458" s="15">
        <f t="shared" si="122"/>
        <v>0</v>
      </c>
      <c r="V458" s="14">
        <v>0</v>
      </c>
      <c r="W458" s="15">
        <f t="shared" si="130"/>
        <v>0</v>
      </c>
      <c r="X458" s="14">
        <v>0</v>
      </c>
      <c r="Y458" s="75">
        <v>0</v>
      </c>
      <c r="Z458" s="87">
        <f t="shared" si="131"/>
        <v>0</v>
      </c>
      <c r="AA458" s="14">
        <f t="shared" si="132"/>
        <v>0</v>
      </c>
      <c r="AB458" s="75">
        <v>0</v>
      </c>
      <c r="AC458" s="75">
        <v>0</v>
      </c>
      <c r="AD458" s="59">
        <f t="shared" si="133"/>
        <v>0</v>
      </c>
      <c r="AE458" s="73">
        <v>0</v>
      </c>
      <c r="AF458" s="73">
        <v>0</v>
      </c>
      <c r="AG458" s="15">
        <f t="shared" si="134"/>
        <v>0</v>
      </c>
      <c r="AH458" s="16">
        <f t="shared" si="135"/>
        <v>29</v>
      </c>
      <c r="AI458" s="17">
        <f t="shared" si="136"/>
        <v>0</v>
      </c>
      <c r="AJ458" s="12">
        <f>VLOOKUP(A458,'PreK Proxy - Sept. 2024'!$A$2:$I$674,9,FALSE)</f>
        <v>35</v>
      </c>
      <c r="AK458" s="18">
        <f t="shared" si="137"/>
        <v>0.82857142857142863</v>
      </c>
    </row>
    <row r="459" spans="1:37" x14ac:dyDescent="0.35">
      <c r="A459" s="11" t="s">
        <v>924</v>
      </c>
      <c r="B459" s="12" t="s">
        <v>925</v>
      </c>
      <c r="C459" s="54" t="s">
        <v>1435</v>
      </c>
      <c r="D459" s="54" t="s">
        <v>190</v>
      </c>
      <c r="E459" s="66">
        <f t="shared" si="123"/>
        <v>20</v>
      </c>
      <c r="F459" s="13">
        <f t="shared" si="124"/>
        <v>0</v>
      </c>
      <c r="G459" s="67">
        <f t="shared" si="125"/>
        <v>20</v>
      </c>
      <c r="H459" s="64">
        <f t="shared" si="121"/>
        <v>20</v>
      </c>
      <c r="I459" s="80">
        <v>0</v>
      </c>
      <c r="J459" s="80">
        <v>20</v>
      </c>
      <c r="K459" s="59">
        <f t="shared" si="126"/>
        <v>20</v>
      </c>
      <c r="L459" s="59">
        <v>0</v>
      </c>
      <c r="M459" s="59">
        <v>0</v>
      </c>
      <c r="N459" s="59">
        <f t="shared" si="127"/>
        <v>0</v>
      </c>
      <c r="O459" s="15">
        <f t="shared" si="128"/>
        <v>0</v>
      </c>
      <c r="P459" s="87">
        <f t="shared" si="129"/>
        <v>0</v>
      </c>
      <c r="Q459" s="110">
        <v>0</v>
      </c>
      <c r="R459" s="59">
        <v>0</v>
      </c>
      <c r="S459" s="14">
        <v>0</v>
      </c>
      <c r="T459" s="59">
        <v>0</v>
      </c>
      <c r="U459" s="15">
        <f t="shared" si="122"/>
        <v>0</v>
      </c>
      <c r="V459" s="14">
        <v>0</v>
      </c>
      <c r="W459" s="15">
        <f t="shared" si="130"/>
        <v>0</v>
      </c>
      <c r="X459" s="14">
        <v>0</v>
      </c>
      <c r="Y459" s="75">
        <v>0</v>
      </c>
      <c r="Z459" s="87">
        <f t="shared" si="131"/>
        <v>0</v>
      </c>
      <c r="AA459" s="14">
        <f t="shared" si="132"/>
        <v>0</v>
      </c>
      <c r="AB459" s="75">
        <v>0</v>
      </c>
      <c r="AC459" s="75">
        <v>0</v>
      </c>
      <c r="AD459" s="59">
        <f t="shared" si="133"/>
        <v>0</v>
      </c>
      <c r="AE459" s="73">
        <v>0</v>
      </c>
      <c r="AF459" s="73">
        <v>0</v>
      </c>
      <c r="AG459" s="15">
        <f t="shared" si="134"/>
        <v>0</v>
      </c>
      <c r="AH459" s="16">
        <f t="shared" si="135"/>
        <v>20</v>
      </c>
      <c r="AI459" s="17">
        <f t="shared" si="136"/>
        <v>0</v>
      </c>
      <c r="AJ459" s="12">
        <f>VLOOKUP(A459,'PreK Proxy - Sept. 2024'!$A$2:$I$674,9,FALSE)</f>
        <v>22</v>
      </c>
      <c r="AK459" s="18">
        <f t="shared" si="137"/>
        <v>0.90909090909090906</v>
      </c>
    </row>
    <row r="460" spans="1:37" x14ac:dyDescent="0.35">
      <c r="A460" s="11" t="s">
        <v>926</v>
      </c>
      <c r="B460" s="12" t="s">
        <v>927</v>
      </c>
      <c r="C460" s="54" t="s">
        <v>1435</v>
      </c>
      <c r="D460" s="54" t="s">
        <v>190</v>
      </c>
      <c r="E460" s="66">
        <f t="shared" si="123"/>
        <v>65</v>
      </c>
      <c r="F460" s="13">
        <f t="shared" si="124"/>
        <v>17</v>
      </c>
      <c r="G460" s="67">
        <f t="shared" si="125"/>
        <v>48</v>
      </c>
      <c r="H460" s="64">
        <f t="shared" si="121"/>
        <v>65</v>
      </c>
      <c r="I460" s="80">
        <v>0</v>
      </c>
      <c r="J460" s="80">
        <v>48</v>
      </c>
      <c r="K460" s="59">
        <f t="shared" si="126"/>
        <v>48</v>
      </c>
      <c r="L460" s="59">
        <v>0</v>
      </c>
      <c r="M460" s="59">
        <v>17</v>
      </c>
      <c r="N460" s="59">
        <f t="shared" si="127"/>
        <v>17</v>
      </c>
      <c r="O460" s="15">
        <f t="shared" si="128"/>
        <v>0</v>
      </c>
      <c r="P460" s="87">
        <f t="shared" si="129"/>
        <v>0</v>
      </c>
      <c r="Q460" s="110">
        <v>0</v>
      </c>
      <c r="R460" s="59">
        <v>0</v>
      </c>
      <c r="S460" s="14">
        <v>0</v>
      </c>
      <c r="T460" s="59">
        <v>0</v>
      </c>
      <c r="U460" s="15">
        <f t="shared" si="122"/>
        <v>0</v>
      </c>
      <c r="V460" s="14">
        <v>0</v>
      </c>
      <c r="W460" s="15">
        <f t="shared" si="130"/>
        <v>0</v>
      </c>
      <c r="X460" s="14">
        <v>0</v>
      </c>
      <c r="Y460" s="75">
        <v>0</v>
      </c>
      <c r="Z460" s="87">
        <f t="shared" si="131"/>
        <v>0</v>
      </c>
      <c r="AA460" s="14">
        <f t="shared" si="132"/>
        <v>0</v>
      </c>
      <c r="AB460" s="75">
        <v>0</v>
      </c>
      <c r="AC460" s="75">
        <v>0</v>
      </c>
      <c r="AD460" s="59">
        <f t="shared" si="133"/>
        <v>0</v>
      </c>
      <c r="AE460" s="73">
        <v>0</v>
      </c>
      <c r="AF460" s="73">
        <v>0</v>
      </c>
      <c r="AG460" s="15">
        <f t="shared" si="134"/>
        <v>0</v>
      </c>
      <c r="AH460" s="16">
        <f t="shared" si="135"/>
        <v>48</v>
      </c>
      <c r="AI460" s="17">
        <f t="shared" si="136"/>
        <v>17</v>
      </c>
      <c r="AJ460" s="12">
        <f>VLOOKUP(A460,'PreK Proxy - Sept. 2024'!$A$2:$I$674,9,FALSE)</f>
        <v>85</v>
      </c>
      <c r="AK460" s="18">
        <f t="shared" si="137"/>
        <v>0.76470588235294112</v>
      </c>
    </row>
    <row r="461" spans="1:37" x14ac:dyDescent="0.35">
      <c r="A461" s="11" t="s">
        <v>928</v>
      </c>
      <c r="B461" s="12" t="s">
        <v>929</v>
      </c>
      <c r="C461" s="54" t="s">
        <v>1435</v>
      </c>
      <c r="D461" s="54" t="s">
        <v>190</v>
      </c>
      <c r="E461" s="66">
        <f t="shared" si="123"/>
        <v>26</v>
      </c>
      <c r="F461" s="13">
        <f t="shared" si="124"/>
        <v>26</v>
      </c>
      <c r="G461" s="67">
        <f t="shared" si="125"/>
        <v>0</v>
      </c>
      <c r="H461" s="64">
        <f t="shared" si="121"/>
        <v>26</v>
      </c>
      <c r="I461" s="80">
        <v>0</v>
      </c>
      <c r="J461" s="80">
        <v>0</v>
      </c>
      <c r="K461" s="59">
        <f t="shared" si="126"/>
        <v>0</v>
      </c>
      <c r="L461" s="59">
        <v>0</v>
      </c>
      <c r="M461" s="59">
        <v>26</v>
      </c>
      <c r="N461" s="59">
        <f t="shared" si="127"/>
        <v>26</v>
      </c>
      <c r="O461" s="15">
        <f t="shared" si="128"/>
        <v>0</v>
      </c>
      <c r="P461" s="87">
        <f t="shared" si="129"/>
        <v>0</v>
      </c>
      <c r="Q461" s="110">
        <v>0</v>
      </c>
      <c r="R461" s="59">
        <v>0</v>
      </c>
      <c r="S461" s="14">
        <v>0</v>
      </c>
      <c r="T461" s="59">
        <v>0</v>
      </c>
      <c r="U461" s="15">
        <f t="shared" si="122"/>
        <v>0</v>
      </c>
      <c r="V461" s="14">
        <v>0</v>
      </c>
      <c r="W461" s="15">
        <f t="shared" si="130"/>
        <v>0</v>
      </c>
      <c r="X461" s="14">
        <v>0</v>
      </c>
      <c r="Y461" s="75">
        <v>0</v>
      </c>
      <c r="Z461" s="87">
        <f t="shared" si="131"/>
        <v>0</v>
      </c>
      <c r="AA461" s="14">
        <f t="shared" si="132"/>
        <v>0</v>
      </c>
      <c r="AB461" s="75">
        <v>0</v>
      </c>
      <c r="AC461" s="75">
        <v>0</v>
      </c>
      <c r="AD461" s="59">
        <f t="shared" si="133"/>
        <v>0</v>
      </c>
      <c r="AE461" s="73">
        <v>0</v>
      </c>
      <c r="AF461" s="73">
        <v>0</v>
      </c>
      <c r="AG461" s="15">
        <f t="shared" si="134"/>
        <v>0</v>
      </c>
      <c r="AH461" s="16">
        <f t="shared" si="135"/>
        <v>0</v>
      </c>
      <c r="AI461" s="17">
        <f t="shared" si="136"/>
        <v>26</v>
      </c>
      <c r="AJ461" s="12">
        <f>VLOOKUP(A461,'PreK Proxy - Sept. 2024'!$A$2:$I$674,9,FALSE)</f>
        <v>34</v>
      </c>
      <c r="AK461" s="18">
        <f t="shared" si="137"/>
        <v>0.76470588235294112</v>
      </c>
    </row>
    <row r="462" spans="1:37" x14ac:dyDescent="0.35">
      <c r="A462" s="11" t="s">
        <v>930</v>
      </c>
      <c r="B462" s="12" t="s">
        <v>931</v>
      </c>
      <c r="C462" s="54" t="s">
        <v>1434</v>
      </c>
      <c r="D462" s="54" t="s">
        <v>18</v>
      </c>
      <c r="E462" s="66">
        <f t="shared" si="123"/>
        <v>19</v>
      </c>
      <c r="F462" s="13">
        <f t="shared" si="124"/>
        <v>19</v>
      </c>
      <c r="G462" s="67">
        <f t="shared" si="125"/>
        <v>0</v>
      </c>
      <c r="H462" s="64">
        <f t="shared" si="121"/>
        <v>0</v>
      </c>
      <c r="I462" s="80">
        <v>0</v>
      </c>
      <c r="J462" s="80">
        <v>0</v>
      </c>
      <c r="K462" s="59">
        <f t="shared" si="126"/>
        <v>0</v>
      </c>
      <c r="L462" s="59">
        <v>0</v>
      </c>
      <c r="M462" s="59">
        <v>0</v>
      </c>
      <c r="N462" s="59">
        <f t="shared" si="127"/>
        <v>0</v>
      </c>
      <c r="O462" s="15">
        <f t="shared" si="128"/>
        <v>0</v>
      </c>
      <c r="P462" s="87">
        <f t="shared" si="129"/>
        <v>19</v>
      </c>
      <c r="Q462" s="110">
        <v>0</v>
      </c>
      <c r="R462" s="59">
        <v>19</v>
      </c>
      <c r="S462" s="14">
        <v>0</v>
      </c>
      <c r="T462" s="59">
        <v>0</v>
      </c>
      <c r="U462" s="15">
        <f t="shared" si="122"/>
        <v>0</v>
      </c>
      <c r="V462" s="14">
        <v>0</v>
      </c>
      <c r="W462" s="15">
        <f t="shared" si="130"/>
        <v>0</v>
      </c>
      <c r="X462" s="14">
        <v>0</v>
      </c>
      <c r="Y462" s="75">
        <v>0</v>
      </c>
      <c r="Z462" s="87">
        <f t="shared" si="131"/>
        <v>0</v>
      </c>
      <c r="AA462" s="14">
        <f t="shared" si="132"/>
        <v>0</v>
      </c>
      <c r="AB462" s="75">
        <v>0</v>
      </c>
      <c r="AC462" s="75">
        <v>0</v>
      </c>
      <c r="AD462" s="59">
        <f t="shared" si="133"/>
        <v>0</v>
      </c>
      <c r="AE462" s="73">
        <v>0</v>
      </c>
      <c r="AF462" s="73">
        <v>0</v>
      </c>
      <c r="AG462" s="15">
        <f t="shared" si="134"/>
        <v>0</v>
      </c>
      <c r="AH462" s="16">
        <f t="shared" si="135"/>
        <v>0</v>
      </c>
      <c r="AI462" s="17">
        <f t="shared" si="136"/>
        <v>19</v>
      </c>
      <c r="AJ462" s="12">
        <f>VLOOKUP(A462,'PreK Proxy - Sept. 2024'!$A$2:$I$674,9,FALSE)</f>
        <v>191</v>
      </c>
      <c r="AK462" s="18">
        <f t="shared" si="137"/>
        <v>9.947643979057591E-2</v>
      </c>
    </row>
    <row r="463" spans="1:37" x14ac:dyDescent="0.35">
      <c r="A463" s="11" t="s">
        <v>932</v>
      </c>
      <c r="B463" s="12" t="s">
        <v>933</v>
      </c>
      <c r="C463" s="54" t="s">
        <v>1434</v>
      </c>
      <c r="D463" s="54" t="s">
        <v>18</v>
      </c>
      <c r="E463" s="66">
        <f t="shared" si="123"/>
        <v>161</v>
      </c>
      <c r="F463" s="13">
        <f t="shared" si="124"/>
        <v>161</v>
      </c>
      <c r="G463" s="67">
        <f t="shared" si="125"/>
        <v>0</v>
      </c>
      <c r="H463" s="64">
        <f t="shared" si="121"/>
        <v>0</v>
      </c>
      <c r="I463" s="80">
        <v>0</v>
      </c>
      <c r="J463" s="80">
        <v>0</v>
      </c>
      <c r="K463" s="59">
        <f t="shared" si="126"/>
        <v>0</v>
      </c>
      <c r="L463" s="59">
        <v>0</v>
      </c>
      <c r="M463" s="59">
        <v>0</v>
      </c>
      <c r="N463" s="59">
        <f t="shared" si="127"/>
        <v>0</v>
      </c>
      <c r="O463" s="15">
        <f t="shared" si="128"/>
        <v>0</v>
      </c>
      <c r="P463" s="87">
        <f t="shared" si="129"/>
        <v>161</v>
      </c>
      <c r="Q463" s="110">
        <v>0</v>
      </c>
      <c r="R463" s="59">
        <v>161</v>
      </c>
      <c r="S463" s="14">
        <v>0</v>
      </c>
      <c r="T463" s="59">
        <v>0</v>
      </c>
      <c r="U463" s="15">
        <f t="shared" si="122"/>
        <v>0</v>
      </c>
      <c r="V463" s="14">
        <v>0</v>
      </c>
      <c r="W463" s="15">
        <f t="shared" si="130"/>
        <v>0</v>
      </c>
      <c r="X463" s="14">
        <v>0</v>
      </c>
      <c r="Y463" s="75">
        <v>0</v>
      </c>
      <c r="Z463" s="87">
        <f t="shared" si="131"/>
        <v>0</v>
      </c>
      <c r="AA463" s="14">
        <f t="shared" si="132"/>
        <v>0</v>
      </c>
      <c r="AB463" s="75">
        <v>0</v>
      </c>
      <c r="AC463" s="75">
        <v>0</v>
      </c>
      <c r="AD463" s="59">
        <f t="shared" si="133"/>
        <v>0</v>
      </c>
      <c r="AE463" s="73">
        <v>0</v>
      </c>
      <c r="AF463" s="73">
        <v>0</v>
      </c>
      <c r="AG463" s="15">
        <f t="shared" si="134"/>
        <v>0</v>
      </c>
      <c r="AH463" s="16">
        <f t="shared" si="135"/>
        <v>0</v>
      </c>
      <c r="AI463" s="17">
        <f t="shared" si="136"/>
        <v>161</v>
      </c>
      <c r="AJ463" s="12">
        <f>VLOOKUP(A463,'PreK Proxy - Sept. 2024'!$A$2:$I$674,9,FALSE)</f>
        <v>480</v>
      </c>
      <c r="AK463" s="18">
        <f t="shared" si="137"/>
        <v>0.33541666666666664</v>
      </c>
    </row>
    <row r="464" spans="1:37" x14ac:dyDescent="0.35">
      <c r="A464" s="11" t="s">
        <v>934</v>
      </c>
      <c r="B464" s="12" t="s">
        <v>935</v>
      </c>
      <c r="C464" s="54" t="s">
        <v>1434</v>
      </c>
      <c r="D464" s="54" t="s">
        <v>18</v>
      </c>
      <c r="E464" s="66">
        <f t="shared" si="123"/>
        <v>48</v>
      </c>
      <c r="F464" s="13">
        <f t="shared" si="124"/>
        <v>48</v>
      </c>
      <c r="G464" s="67">
        <f t="shared" si="125"/>
        <v>0</v>
      </c>
      <c r="H464" s="64">
        <f t="shared" si="121"/>
        <v>48</v>
      </c>
      <c r="I464" s="80">
        <v>0</v>
      </c>
      <c r="J464" s="80">
        <v>0</v>
      </c>
      <c r="K464" s="59">
        <f t="shared" si="126"/>
        <v>0</v>
      </c>
      <c r="L464" s="59">
        <v>1</v>
      </c>
      <c r="M464" s="59">
        <v>47</v>
      </c>
      <c r="N464" s="59">
        <f t="shared" si="127"/>
        <v>48</v>
      </c>
      <c r="O464" s="15">
        <f t="shared" si="128"/>
        <v>0</v>
      </c>
      <c r="P464" s="87">
        <f t="shared" si="129"/>
        <v>0</v>
      </c>
      <c r="Q464" s="110">
        <v>0</v>
      </c>
      <c r="R464" s="59">
        <v>0</v>
      </c>
      <c r="S464" s="14">
        <v>0</v>
      </c>
      <c r="T464" s="59">
        <v>0</v>
      </c>
      <c r="U464" s="15">
        <f t="shared" si="122"/>
        <v>0</v>
      </c>
      <c r="V464" s="14">
        <v>0</v>
      </c>
      <c r="W464" s="15">
        <f t="shared" si="130"/>
        <v>0</v>
      </c>
      <c r="X464" s="14">
        <v>0</v>
      </c>
      <c r="Y464" s="75">
        <v>0</v>
      </c>
      <c r="Z464" s="87">
        <f t="shared" si="131"/>
        <v>0</v>
      </c>
      <c r="AA464" s="14">
        <f t="shared" si="132"/>
        <v>0</v>
      </c>
      <c r="AB464" s="75">
        <v>0</v>
      </c>
      <c r="AC464" s="75">
        <v>0</v>
      </c>
      <c r="AD464" s="59">
        <f t="shared" si="133"/>
        <v>0</v>
      </c>
      <c r="AE464" s="73">
        <v>0</v>
      </c>
      <c r="AF464" s="73">
        <v>0</v>
      </c>
      <c r="AG464" s="15">
        <f t="shared" si="134"/>
        <v>0</v>
      </c>
      <c r="AH464" s="16">
        <f t="shared" si="135"/>
        <v>0</v>
      </c>
      <c r="AI464" s="17">
        <f t="shared" si="136"/>
        <v>47</v>
      </c>
      <c r="AJ464" s="12">
        <f>VLOOKUP(A464,'PreK Proxy - Sept. 2024'!$A$2:$I$674,9,FALSE)</f>
        <v>61</v>
      </c>
      <c r="AK464" s="18">
        <f t="shared" si="137"/>
        <v>0.77049180327868849</v>
      </c>
    </row>
    <row r="465" spans="1:37" x14ac:dyDescent="0.35">
      <c r="A465" s="11" t="s">
        <v>936</v>
      </c>
      <c r="B465" s="12" t="s">
        <v>937</v>
      </c>
      <c r="C465" s="54" t="s">
        <v>1434</v>
      </c>
      <c r="D465" s="54" t="s">
        <v>18</v>
      </c>
      <c r="E465" s="66">
        <f t="shared" si="123"/>
        <v>0</v>
      </c>
      <c r="F465" s="13">
        <f t="shared" si="124"/>
        <v>0</v>
      </c>
      <c r="G465" s="67">
        <f t="shared" si="125"/>
        <v>0</v>
      </c>
      <c r="H465" s="64">
        <f t="shared" si="121"/>
        <v>0</v>
      </c>
      <c r="I465" s="80">
        <v>0</v>
      </c>
      <c r="J465" s="80">
        <v>0</v>
      </c>
      <c r="K465" s="59">
        <f t="shared" si="126"/>
        <v>0</v>
      </c>
      <c r="L465" s="59">
        <v>0</v>
      </c>
      <c r="M465" s="59">
        <v>0</v>
      </c>
      <c r="N465" s="59">
        <f t="shared" si="127"/>
        <v>0</v>
      </c>
      <c r="O465" s="15">
        <f t="shared" si="128"/>
        <v>0</v>
      </c>
      <c r="P465" s="87">
        <f t="shared" si="129"/>
        <v>0</v>
      </c>
      <c r="Q465" s="110">
        <v>0</v>
      </c>
      <c r="R465" s="59">
        <v>0</v>
      </c>
      <c r="S465" s="14">
        <v>0</v>
      </c>
      <c r="T465" s="59">
        <v>0</v>
      </c>
      <c r="U465" s="15">
        <f t="shared" si="122"/>
        <v>0</v>
      </c>
      <c r="V465" s="14">
        <v>0</v>
      </c>
      <c r="W465" s="15">
        <f t="shared" si="130"/>
        <v>0</v>
      </c>
      <c r="X465" s="14">
        <v>0</v>
      </c>
      <c r="Y465" s="75">
        <v>0</v>
      </c>
      <c r="Z465" s="87">
        <f t="shared" si="131"/>
        <v>0</v>
      </c>
      <c r="AA465" s="14">
        <f t="shared" si="132"/>
        <v>0</v>
      </c>
      <c r="AB465" s="75">
        <v>0</v>
      </c>
      <c r="AC465" s="75">
        <v>0</v>
      </c>
      <c r="AD465" s="59">
        <f t="shared" si="133"/>
        <v>0</v>
      </c>
      <c r="AE465" s="73">
        <v>0</v>
      </c>
      <c r="AF465" s="73">
        <v>0</v>
      </c>
      <c r="AG465" s="15">
        <f t="shared" si="134"/>
        <v>0</v>
      </c>
      <c r="AH465" s="16">
        <f t="shared" si="135"/>
        <v>0</v>
      </c>
      <c r="AI465" s="17">
        <f t="shared" si="136"/>
        <v>0</v>
      </c>
      <c r="AJ465" s="12">
        <f>VLOOKUP(A465,'PreK Proxy - Sept. 2024'!$A$2:$I$674,9,FALSE)</f>
        <v>7</v>
      </c>
      <c r="AK465" s="18">
        <f t="shared" si="137"/>
        <v>0</v>
      </c>
    </row>
    <row r="466" spans="1:37" x14ac:dyDescent="0.35">
      <c r="A466" s="11" t="s">
        <v>938</v>
      </c>
      <c r="B466" s="12" t="s">
        <v>939</v>
      </c>
      <c r="C466" s="54" t="s">
        <v>1434</v>
      </c>
      <c r="D466" s="54" t="s">
        <v>18</v>
      </c>
      <c r="E466" s="66">
        <f t="shared" si="123"/>
        <v>45</v>
      </c>
      <c r="F466" s="13">
        <f t="shared" si="124"/>
        <v>45</v>
      </c>
      <c r="G466" s="67">
        <f t="shared" si="125"/>
        <v>0</v>
      </c>
      <c r="H466" s="64">
        <f t="shared" si="121"/>
        <v>25</v>
      </c>
      <c r="I466" s="80">
        <v>0</v>
      </c>
      <c r="J466" s="80">
        <v>0</v>
      </c>
      <c r="K466" s="59">
        <f t="shared" si="126"/>
        <v>0</v>
      </c>
      <c r="L466" s="59">
        <v>0</v>
      </c>
      <c r="M466" s="59">
        <v>25</v>
      </c>
      <c r="N466" s="59">
        <f t="shared" si="127"/>
        <v>25</v>
      </c>
      <c r="O466" s="15">
        <f t="shared" si="128"/>
        <v>0</v>
      </c>
      <c r="P466" s="87">
        <f t="shared" si="129"/>
        <v>20</v>
      </c>
      <c r="Q466" s="110">
        <v>0</v>
      </c>
      <c r="R466" s="59">
        <v>20</v>
      </c>
      <c r="S466" s="14">
        <v>0</v>
      </c>
      <c r="T466" s="59">
        <v>0</v>
      </c>
      <c r="U466" s="15">
        <f t="shared" si="122"/>
        <v>0</v>
      </c>
      <c r="V466" s="14">
        <v>0</v>
      </c>
      <c r="W466" s="15">
        <f t="shared" si="130"/>
        <v>0</v>
      </c>
      <c r="X466" s="14">
        <v>0</v>
      </c>
      <c r="Y466" s="75">
        <v>0</v>
      </c>
      <c r="Z466" s="87">
        <f t="shared" si="131"/>
        <v>0</v>
      </c>
      <c r="AA466" s="14">
        <f t="shared" si="132"/>
        <v>0</v>
      </c>
      <c r="AB466" s="75">
        <v>0</v>
      </c>
      <c r="AC466" s="75">
        <v>0</v>
      </c>
      <c r="AD466" s="59">
        <f t="shared" si="133"/>
        <v>0</v>
      </c>
      <c r="AE466" s="73">
        <v>0</v>
      </c>
      <c r="AF466" s="73">
        <v>0</v>
      </c>
      <c r="AG466" s="15">
        <f t="shared" si="134"/>
        <v>0</v>
      </c>
      <c r="AH466" s="16">
        <f t="shared" si="135"/>
        <v>0</v>
      </c>
      <c r="AI466" s="17">
        <f t="shared" si="136"/>
        <v>45</v>
      </c>
      <c r="AJ466" s="12">
        <f>VLOOKUP(A466,'PreK Proxy - Sept. 2024'!$A$2:$I$674,9,FALSE)</f>
        <v>38</v>
      </c>
      <c r="AK466" s="18">
        <f t="shared" si="137"/>
        <v>1</v>
      </c>
    </row>
    <row r="467" spans="1:37" x14ac:dyDescent="0.35">
      <c r="A467" s="11" t="s">
        <v>940</v>
      </c>
      <c r="B467" s="12" t="s">
        <v>941</v>
      </c>
      <c r="C467" s="54" t="s">
        <v>1434</v>
      </c>
      <c r="D467" s="54" t="s">
        <v>18</v>
      </c>
      <c r="E467" s="66">
        <f t="shared" si="123"/>
        <v>32</v>
      </c>
      <c r="F467" s="13">
        <f t="shared" si="124"/>
        <v>32</v>
      </c>
      <c r="G467" s="67">
        <f t="shared" si="125"/>
        <v>0</v>
      </c>
      <c r="H467" s="64">
        <f t="shared" si="121"/>
        <v>0</v>
      </c>
      <c r="I467" s="80">
        <v>0</v>
      </c>
      <c r="J467" s="80">
        <v>0</v>
      </c>
      <c r="K467" s="59">
        <f t="shared" si="126"/>
        <v>0</v>
      </c>
      <c r="L467" s="59">
        <v>0</v>
      </c>
      <c r="M467" s="59">
        <v>0</v>
      </c>
      <c r="N467" s="59">
        <f t="shared" si="127"/>
        <v>0</v>
      </c>
      <c r="O467" s="15">
        <f t="shared" si="128"/>
        <v>0</v>
      </c>
      <c r="P467" s="87">
        <f t="shared" si="129"/>
        <v>32</v>
      </c>
      <c r="Q467" s="110">
        <v>0</v>
      </c>
      <c r="R467" s="59">
        <v>32</v>
      </c>
      <c r="S467" s="14">
        <v>0</v>
      </c>
      <c r="T467" s="59">
        <v>0</v>
      </c>
      <c r="U467" s="15">
        <f t="shared" si="122"/>
        <v>0</v>
      </c>
      <c r="V467" s="14">
        <v>0</v>
      </c>
      <c r="W467" s="15">
        <f t="shared" si="130"/>
        <v>0</v>
      </c>
      <c r="X467" s="14">
        <v>0</v>
      </c>
      <c r="Y467" s="75">
        <v>0</v>
      </c>
      <c r="Z467" s="87">
        <f t="shared" si="131"/>
        <v>0</v>
      </c>
      <c r="AA467" s="14">
        <f t="shared" si="132"/>
        <v>0</v>
      </c>
      <c r="AB467" s="75">
        <v>0</v>
      </c>
      <c r="AC467" s="75">
        <v>0</v>
      </c>
      <c r="AD467" s="59">
        <f t="shared" si="133"/>
        <v>0</v>
      </c>
      <c r="AE467" s="73">
        <v>0</v>
      </c>
      <c r="AF467" s="73">
        <v>0</v>
      </c>
      <c r="AG467" s="15">
        <f t="shared" si="134"/>
        <v>0</v>
      </c>
      <c r="AH467" s="16">
        <f t="shared" si="135"/>
        <v>0</v>
      </c>
      <c r="AI467" s="17">
        <f t="shared" si="136"/>
        <v>32</v>
      </c>
      <c r="AJ467" s="12">
        <f>VLOOKUP(A467,'PreK Proxy - Sept. 2024'!$A$2:$I$674,9,FALSE)</f>
        <v>84</v>
      </c>
      <c r="AK467" s="18">
        <f t="shared" si="137"/>
        <v>0.38095238095238093</v>
      </c>
    </row>
    <row r="468" spans="1:37" x14ac:dyDescent="0.35">
      <c r="A468" s="11" t="s">
        <v>942</v>
      </c>
      <c r="B468" s="12" t="s">
        <v>943</v>
      </c>
      <c r="C468" s="54" t="s">
        <v>1434</v>
      </c>
      <c r="D468" s="54" t="s">
        <v>18</v>
      </c>
      <c r="E468" s="66">
        <f t="shared" si="123"/>
        <v>96</v>
      </c>
      <c r="F468" s="13">
        <f t="shared" si="124"/>
        <v>95</v>
      </c>
      <c r="G468" s="67">
        <f t="shared" si="125"/>
        <v>1</v>
      </c>
      <c r="H468" s="64">
        <f t="shared" si="121"/>
        <v>96</v>
      </c>
      <c r="I468" s="80">
        <v>0</v>
      </c>
      <c r="J468" s="80">
        <v>1</v>
      </c>
      <c r="K468" s="59">
        <f t="shared" si="126"/>
        <v>1</v>
      </c>
      <c r="L468" s="59">
        <v>0</v>
      </c>
      <c r="M468" s="59">
        <v>95</v>
      </c>
      <c r="N468" s="59">
        <f t="shared" si="127"/>
        <v>95</v>
      </c>
      <c r="O468" s="15">
        <f t="shared" si="128"/>
        <v>0</v>
      </c>
      <c r="P468" s="87">
        <f t="shared" si="129"/>
        <v>0</v>
      </c>
      <c r="Q468" s="110">
        <v>0</v>
      </c>
      <c r="R468" s="59">
        <v>0</v>
      </c>
      <c r="S468" s="14">
        <v>0</v>
      </c>
      <c r="T468" s="59">
        <v>0</v>
      </c>
      <c r="U468" s="15">
        <f t="shared" si="122"/>
        <v>0</v>
      </c>
      <c r="V468" s="14">
        <v>0</v>
      </c>
      <c r="W468" s="15">
        <f t="shared" si="130"/>
        <v>0</v>
      </c>
      <c r="X468" s="14">
        <v>0</v>
      </c>
      <c r="Y468" s="75">
        <v>0</v>
      </c>
      <c r="Z468" s="87">
        <f t="shared" si="131"/>
        <v>0</v>
      </c>
      <c r="AA468" s="14">
        <f t="shared" si="132"/>
        <v>0</v>
      </c>
      <c r="AB468" s="75">
        <v>0</v>
      </c>
      <c r="AC468" s="75">
        <v>0</v>
      </c>
      <c r="AD468" s="59">
        <f t="shared" si="133"/>
        <v>0</v>
      </c>
      <c r="AE468" s="73">
        <v>0</v>
      </c>
      <c r="AF468" s="73">
        <v>0</v>
      </c>
      <c r="AG468" s="15">
        <f t="shared" si="134"/>
        <v>0</v>
      </c>
      <c r="AH468" s="16">
        <f t="shared" si="135"/>
        <v>1</v>
      </c>
      <c r="AI468" s="17">
        <f t="shared" si="136"/>
        <v>95</v>
      </c>
      <c r="AJ468" s="12">
        <f>VLOOKUP(A468,'PreK Proxy - Sept. 2024'!$A$2:$I$674,9,FALSE)</f>
        <v>249</v>
      </c>
      <c r="AK468" s="18">
        <f t="shared" si="137"/>
        <v>0.38554216867469882</v>
      </c>
    </row>
    <row r="469" spans="1:37" x14ac:dyDescent="0.35">
      <c r="A469" s="11" t="s">
        <v>944</v>
      </c>
      <c r="B469" s="12" t="s">
        <v>945</v>
      </c>
      <c r="C469" s="54" t="s">
        <v>1434</v>
      </c>
      <c r="D469" s="54" t="s">
        <v>18</v>
      </c>
      <c r="E469" s="66">
        <f t="shared" si="123"/>
        <v>105</v>
      </c>
      <c r="F469" s="13">
        <f t="shared" si="124"/>
        <v>105</v>
      </c>
      <c r="G469" s="67">
        <f t="shared" si="125"/>
        <v>0</v>
      </c>
      <c r="H469" s="64">
        <f t="shared" si="121"/>
        <v>105</v>
      </c>
      <c r="I469" s="80">
        <v>0</v>
      </c>
      <c r="J469" s="80">
        <v>0</v>
      </c>
      <c r="K469" s="59">
        <f t="shared" si="126"/>
        <v>0</v>
      </c>
      <c r="L469" s="59">
        <v>0</v>
      </c>
      <c r="M469" s="59">
        <v>105</v>
      </c>
      <c r="N469" s="59">
        <f t="shared" si="127"/>
        <v>105</v>
      </c>
      <c r="O469" s="15">
        <f t="shared" si="128"/>
        <v>0</v>
      </c>
      <c r="P469" s="87">
        <f t="shared" si="129"/>
        <v>0</v>
      </c>
      <c r="Q469" s="110">
        <v>0</v>
      </c>
      <c r="R469" s="59">
        <v>0</v>
      </c>
      <c r="S469" s="14">
        <v>0</v>
      </c>
      <c r="T469" s="59">
        <v>0</v>
      </c>
      <c r="U469" s="15">
        <f t="shared" si="122"/>
        <v>0</v>
      </c>
      <c r="V469" s="14">
        <v>0</v>
      </c>
      <c r="W469" s="15">
        <f t="shared" si="130"/>
        <v>0</v>
      </c>
      <c r="X469" s="14">
        <v>0</v>
      </c>
      <c r="Y469" s="75">
        <v>0</v>
      </c>
      <c r="Z469" s="87">
        <f t="shared" si="131"/>
        <v>0</v>
      </c>
      <c r="AA469" s="14">
        <f t="shared" si="132"/>
        <v>0</v>
      </c>
      <c r="AB469" s="75">
        <v>0</v>
      </c>
      <c r="AC469" s="75">
        <v>0</v>
      </c>
      <c r="AD469" s="59">
        <f t="shared" si="133"/>
        <v>0</v>
      </c>
      <c r="AE469" s="73">
        <v>0</v>
      </c>
      <c r="AF469" s="73">
        <v>0</v>
      </c>
      <c r="AG469" s="15">
        <f t="shared" si="134"/>
        <v>0</v>
      </c>
      <c r="AH469" s="16">
        <f t="shared" si="135"/>
        <v>0</v>
      </c>
      <c r="AI469" s="17">
        <f t="shared" si="136"/>
        <v>105</v>
      </c>
      <c r="AJ469" s="12">
        <f>VLOOKUP(A469,'PreK Proxy - Sept. 2024'!$A$2:$I$674,9,FALSE)</f>
        <v>157</v>
      </c>
      <c r="AK469" s="18">
        <f t="shared" si="137"/>
        <v>0.66878980891719741</v>
      </c>
    </row>
    <row r="470" spans="1:37" x14ac:dyDescent="0.35">
      <c r="A470" s="11" t="s">
        <v>946</v>
      </c>
      <c r="B470" s="12" t="s">
        <v>947</v>
      </c>
      <c r="C470" s="54" t="s">
        <v>1434</v>
      </c>
      <c r="D470" s="54" t="s">
        <v>18</v>
      </c>
      <c r="E470" s="66">
        <f t="shared" si="123"/>
        <v>35</v>
      </c>
      <c r="F470" s="13">
        <f t="shared" si="124"/>
        <v>35</v>
      </c>
      <c r="G470" s="67">
        <f t="shared" si="125"/>
        <v>0</v>
      </c>
      <c r="H470" s="64">
        <f t="shared" si="121"/>
        <v>0</v>
      </c>
      <c r="I470" s="80">
        <v>0</v>
      </c>
      <c r="J470" s="80">
        <v>0</v>
      </c>
      <c r="K470" s="59">
        <f t="shared" si="126"/>
        <v>0</v>
      </c>
      <c r="L470" s="59">
        <v>0</v>
      </c>
      <c r="M470" s="59">
        <v>0</v>
      </c>
      <c r="N470" s="59">
        <f t="shared" si="127"/>
        <v>0</v>
      </c>
      <c r="O470" s="15">
        <f t="shared" si="128"/>
        <v>0</v>
      </c>
      <c r="P470" s="87">
        <f t="shared" si="129"/>
        <v>35</v>
      </c>
      <c r="Q470" s="110">
        <v>0</v>
      </c>
      <c r="R470" s="59">
        <v>35</v>
      </c>
      <c r="S470" s="14">
        <v>0</v>
      </c>
      <c r="T470" s="59">
        <v>0</v>
      </c>
      <c r="U470" s="15">
        <f t="shared" si="122"/>
        <v>0</v>
      </c>
      <c r="V470" s="14">
        <v>0</v>
      </c>
      <c r="W470" s="15">
        <f t="shared" si="130"/>
        <v>0</v>
      </c>
      <c r="X470" s="14">
        <v>0</v>
      </c>
      <c r="Y470" s="75">
        <v>0</v>
      </c>
      <c r="Z470" s="87">
        <f t="shared" si="131"/>
        <v>0</v>
      </c>
      <c r="AA470" s="14">
        <f t="shared" si="132"/>
        <v>0</v>
      </c>
      <c r="AB470" s="75">
        <v>0</v>
      </c>
      <c r="AC470" s="75">
        <v>0</v>
      </c>
      <c r="AD470" s="59">
        <f t="shared" si="133"/>
        <v>0</v>
      </c>
      <c r="AE470" s="73">
        <v>0</v>
      </c>
      <c r="AF470" s="73">
        <v>0</v>
      </c>
      <c r="AG470" s="15">
        <f t="shared" si="134"/>
        <v>0</v>
      </c>
      <c r="AH470" s="16">
        <f t="shared" si="135"/>
        <v>0</v>
      </c>
      <c r="AI470" s="17">
        <f t="shared" si="136"/>
        <v>35</v>
      </c>
      <c r="AJ470" s="12">
        <f>VLOOKUP(A470,'PreK Proxy - Sept. 2024'!$A$2:$I$674,9,FALSE)</f>
        <v>75</v>
      </c>
      <c r="AK470" s="18">
        <f t="shared" si="137"/>
        <v>0.46666666666666667</v>
      </c>
    </row>
    <row r="471" spans="1:37" x14ac:dyDescent="0.35">
      <c r="A471" s="11" t="s">
        <v>948</v>
      </c>
      <c r="B471" s="12" t="s">
        <v>949</v>
      </c>
      <c r="C471" s="54" t="s">
        <v>1434</v>
      </c>
      <c r="D471" s="54" t="s">
        <v>18</v>
      </c>
      <c r="E471" s="66">
        <f t="shared" si="123"/>
        <v>108</v>
      </c>
      <c r="F471" s="13">
        <f t="shared" si="124"/>
        <v>78</v>
      </c>
      <c r="G471" s="67">
        <f t="shared" si="125"/>
        <v>30</v>
      </c>
      <c r="H471" s="64">
        <f t="shared" si="121"/>
        <v>108</v>
      </c>
      <c r="I471" s="80">
        <v>0</v>
      </c>
      <c r="J471" s="80">
        <v>30</v>
      </c>
      <c r="K471" s="59">
        <f t="shared" si="126"/>
        <v>30</v>
      </c>
      <c r="L471" s="59">
        <v>0</v>
      </c>
      <c r="M471" s="59">
        <v>78</v>
      </c>
      <c r="N471" s="59">
        <f t="shared" si="127"/>
        <v>78</v>
      </c>
      <c r="O471" s="15">
        <f t="shared" si="128"/>
        <v>0</v>
      </c>
      <c r="P471" s="87">
        <f t="shared" si="129"/>
        <v>0</v>
      </c>
      <c r="Q471" s="110">
        <v>0</v>
      </c>
      <c r="R471" s="59">
        <v>0</v>
      </c>
      <c r="S471" s="14">
        <v>0</v>
      </c>
      <c r="T471" s="59">
        <v>0</v>
      </c>
      <c r="U471" s="15">
        <f t="shared" si="122"/>
        <v>0</v>
      </c>
      <c r="V471" s="14">
        <v>0</v>
      </c>
      <c r="W471" s="15">
        <f t="shared" si="130"/>
        <v>0</v>
      </c>
      <c r="X471" s="14">
        <v>0</v>
      </c>
      <c r="Y471" s="75">
        <v>0</v>
      </c>
      <c r="Z471" s="87">
        <f t="shared" si="131"/>
        <v>0</v>
      </c>
      <c r="AA471" s="14">
        <f t="shared" si="132"/>
        <v>0</v>
      </c>
      <c r="AB471" s="75">
        <v>0</v>
      </c>
      <c r="AC471" s="75">
        <v>0</v>
      </c>
      <c r="AD471" s="59">
        <f t="shared" si="133"/>
        <v>0</v>
      </c>
      <c r="AE471" s="73">
        <v>0</v>
      </c>
      <c r="AF471" s="73">
        <v>0</v>
      </c>
      <c r="AG471" s="15">
        <f t="shared" si="134"/>
        <v>0</v>
      </c>
      <c r="AH471" s="16">
        <f t="shared" si="135"/>
        <v>30</v>
      </c>
      <c r="AI471" s="17">
        <f t="shared" si="136"/>
        <v>78</v>
      </c>
      <c r="AJ471" s="12">
        <f>VLOOKUP(A471,'PreK Proxy - Sept. 2024'!$A$2:$I$674,9,FALSE)</f>
        <v>333</v>
      </c>
      <c r="AK471" s="18">
        <f t="shared" si="137"/>
        <v>0.32432432432432434</v>
      </c>
    </row>
    <row r="472" spans="1:37" x14ac:dyDescent="0.35">
      <c r="A472" s="11" t="s">
        <v>950</v>
      </c>
      <c r="B472" s="12" t="s">
        <v>951</v>
      </c>
      <c r="C472" s="54" t="s">
        <v>1434</v>
      </c>
      <c r="D472" s="54" t="s">
        <v>18</v>
      </c>
      <c r="E472" s="66">
        <f t="shared" si="123"/>
        <v>35</v>
      </c>
      <c r="F472" s="13">
        <f t="shared" si="124"/>
        <v>35</v>
      </c>
      <c r="G472" s="67">
        <f t="shared" si="125"/>
        <v>0</v>
      </c>
      <c r="H472" s="64">
        <f t="shared" si="121"/>
        <v>30</v>
      </c>
      <c r="I472" s="80">
        <v>0</v>
      </c>
      <c r="J472" s="80">
        <v>0</v>
      </c>
      <c r="K472" s="59">
        <f t="shared" si="126"/>
        <v>0</v>
      </c>
      <c r="L472" s="59">
        <v>0</v>
      </c>
      <c r="M472" s="59">
        <v>30</v>
      </c>
      <c r="N472" s="59">
        <f t="shared" si="127"/>
        <v>30</v>
      </c>
      <c r="O472" s="15">
        <f t="shared" si="128"/>
        <v>0</v>
      </c>
      <c r="P472" s="87">
        <f t="shared" si="129"/>
        <v>5</v>
      </c>
      <c r="Q472" s="110">
        <v>0</v>
      </c>
      <c r="R472" s="59">
        <v>5</v>
      </c>
      <c r="S472" s="14">
        <v>0</v>
      </c>
      <c r="T472" s="59">
        <v>0</v>
      </c>
      <c r="U472" s="15">
        <f t="shared" si="122"/>
        <v>0</v>
      </c>
      <c r="V472" s="14">
        <v>0</v>
      </c>
      <c r="W472" s="15">
        <f t="shared" si="130"/>
        <v>0</v>
      </c>
      <c r="X472" s="14">
        <v>0</v>
      </c>
      <c r="Y472" s="75">
        <v>0</v>
      </c>
      <c r="Z472" s="87">
        <f t="shared" si="131"/>
        <v>0</v>
      </c>
      <c r="AA472" s="14">
        <f t="shared" si="132"/>
        <v>0</v>
      </c>
      <c r="AB472" s="75">
        <v>0</v>
      </c>
      <c r="AC472" s="75">
        <v>0</v>
      </c>
      <c r="AD472" s="59">
        <f t="shared" si="133"/>
        <v>0</v>
      </c>
      <c r="AE472" s="73">
        <v>0</v>
      </c>
      <c r="AF472" s="73">
        <v>0</v>
      </c>
      <c r="AG472" s="15">
        <f t="shared" si="134"/>
        <v>0</v>
      </c>
      <c r="AH472" s="16">
        <f t="shared" si="135"/>
        <v>0</v>
      </c>
      <c r="AI472" s="17">
        <f t="shared" si="136"/>
        <v>35</v>
      </c>
      <c r="AJ472" s="12">
        <f>VLOOKUP(A472,'PreK Proxy - Sept. 2024'!$A$2:$I$674,9,FALSE)</f>
        <v>52</v>
      </c>
      <c r="AK472" s="18">
        <f t="shared" si="137"/>
        <v>0.67307692307692313</v>
      </c>
    </row>
    <row r="473" spans="1:37" x14ac:dyDescent="0.35">
      <c r="A473" s="11" t="s">
        <v>952</v>
      </c>
      <c r="B473" s="12" t="s">
        <v>953</v>
      </c>
      <c r="C473" s="54" t="s">
        <v>1434</v>
      </c>
      <c r="D473" s="54" t="s">
        <v>18</v>
      </c>
      <c r="E473" s="66">
        <f t="shared" si="123"/>
        <v>27</v>
      </c>
      <c r="F473" s="13">
        <f t="shared" si="124"/>
        <v>27</v>
      </c>
      <c r="G473" s="67">
        <f t="shared" si="125"/>
        <v>0</v>
      </c>
      <c r="H473" s="64">
        <f t="shared" si="121"/>
        <v>3</v>
      </c>
      <c r="I473" s="80">
        <v>0</v>
      </c>
      <c r="J473" s="80">
        <v>0</v>
      </c>
      <c r="K473" s="59">
        <f t="shared" si="126"/>
        <v>0</v>
      </c>
      <c r="L473" s="59">
        <v>0</v>
      </c>
      <c r="M473" s="59">
        <v>3</v>
      </c>
      <c r="N473" s="59">
        <f t="shared" si="127"/>
        <v>3</v>
      </c>
      <c r="O473" s="15">
        <f t="shared" si="128"/>
        <v>0</v>
      </c>
      <c r="P473" s="87">
        <f t="shared" si="129"/>
        <v>24</v>
      </c>
      <c r="Q473" s="110">
        <v>0</v>
      </c>
      <c r="R473" s="59">
        <v>24</v>
      </c>
      <c r="S473" s="14">
        <v>0</v>
      </c>
      <c r="T473" s="59">
        <v>0</v>
      </c>
      <c r="U473" s="15">
        <f t="shared" si="122"/>
        <v>0</v>
      </c>
      <c r="V473" s="14">
        <v>0</v>
      </c>
      <c r="W473" s="15">
        <f t="shared" si="130"/>
        <v>0</v>
      </c>
      <c r="X473" s="14">
        <v>0</v>
      </c>
      <c r="Y473" s="75">
        <v>0</v>
      </c>
      <c r="Z473" s="87">
        <f t="shared" si="131"/>
        <v>0</v>
      </c>
      <c r="AA473" s="14">
        <f t="shared" si="132"/>
        <v>0</v>
      </c>
      <c r="AB473" s="75">
        <v>0</v>
      </c>
      <c r="AC473" s="75">
        <v>0</v>
      </c>
      <c r="AD473" s="59">
        <f t="shared" si="133"/>
        <v>0</v>
      </c>
      <c r="AE473" s="73">
        <v>0</v>
      </c>
      <c r="AF473" s="73">
        <v>0</v>
      </c>
      <c r="AG473" s="15">
        <f t="shared" si="134"/>
        <v>0</v>
      </c>
      <c r="AH473" s="16">
        <f t="shared" si="135"/>
        <v>0</v>
      </c>
      <c r="AI473" s="17">
        <f t="shared" si="136"/>
        <v>27</v>
      </c>
      <c r="AJ473" s="12">
        <f>VLOOKUP(A473,'PreK Proxy - Sept. 2024'!$A$2:$I$674,9,FALSE)</f>
        <v>85</v>
      </c>
      <c r="AK473" s="18">
        <f t="shared" si="137"/>
        <v>0.31764705882352939</v>
      </c>
    </row>
    <row r="474" spans="1:37" x14ac:dyDescent="0.35">
      <c r="A474" s="11" t="s">
        <v>954</v>
      </c>
      <c r="B474" s="12" t="s">
        <v>955</v>
      </c>
      <c r="C474" s="54" t="s">
        <v>1382</v>
      </c>
      <c r="D474" s="54" t="s">
        <v>18</v>
      </c>
      <c r="E474" s="66">
        <f t="shared" si="123"/>
        <v>36</v>
      </c>
      <c r="F474" s="13">
        <f t="shared" si="124"/>
        <v>36</v>
      </c>
      <c r="G474" s="67">
        <f t="shared" si="125"/>
        <v>0</v>
      </c>
      <c r="H474" s="64">
        <f t="shared" si="121"/>
        <v>26</v>
      </c>
      <c r="I474" s="80">
        <v>0</v>
      </c>
      <c r="J474" s="80">
        <v>0</v>
      </c>
      <c r="K474" s="59">
        <f t="shared" si="126"/>
        <v>0</v>
      </c>
      <c r="L474" s="59">
        <v>0</v>
      </c>
      <c r="M474" s="59">
        <v>26</v>
      </c>
      <c r="N474" s="59">
        <f t="shared" si="127"/>
        <v>26</v>
      </c>
      <c r="O474" s="15">
        <f t="shared" si="128"/>
        <v>0</v>
      </c>
      <c r="P474" s="87">
        <f t="shared" si="129"/>
        <v>0</v>
      </c>
      <c r="Q474" s="110">
        <v>0</v>
      </c>
      <c r="R474" s="59">
        <v>0</v>
      </c>
      <c r="S474" s="14">
        <v>0</v>
      </c>
      <c r="T474" s="59">
        <v>0</v>
      </c>
      <c r="U474" s="15">
        <f t="shared" si="122"/>
        <v>0</v>
      </c>
      <c r="V474" s="14">
        <v>0</v>
      </c>
      <c r="W474" s="15">
        <f t="shared" si="130"/>
        <v>0</v>
      </c>
      <c r="X474" s="14">
        <v>10</v>
      </c>
      <c r="Y474" s="75">
        <v>0</v>
      </c>
      <c r="Z474" s="87">
        <f t="shared" si="131"/>
        <v>10</v>
      </c>
      <c r="AA474" s="14">
        <f t="shared" si="132"/>
        <v>0</v>
      </c>
      <c r="AB474" s="75">
        <v>0</v>
      </c>
      <c r="AC474" s="75">
        <v>0</v>
      </c>
      <c r="AD474" s="59">
        <f t="shared" si="133"/>
        <v>0</v>
      </c>
      <c r="AE474" s="73">
        <v>0</v>
      </c>
      <c r="AF474" s="73">
        <v>0</v>
      </c>
      <c r="AG474" s="15">
        <f t="shared" si="134"/>
        <v>0</v>
      </c>
      <c r="AH474" s="16">
        <f t="shared" si="135"/>
        <v>0</v>
      </c>
      <c r="AI474" s="17">
        <f t="shared" si="136"/>
        <v>36</v>
      </c>
      <c r="AJ474" s="12">
        <f>VLOOKUP(A474,'PreK Proxy - Sept. 2024'!$A$2:$I$674,9,FALSE)</f>
        <v>28</v>
      </c>
      <c r="AK474" s="18">
        <f t="shared" si="137"/>
        <v>1</v>
      </c>
    </row>
    <row r="475" spans="1:37" x14ac:dyDescent="0.35">
      <c r="A475" s="11" t="s">
        <v>956</v>
      </c>
      <c r="B475" s="12" t="s">
        <v>957</v>
      </c>
      <c r="C475" s="54" t="s">
        <v>1382</v>
      </c>
      <c r="D475" s="54" t="s">
        <v>18</v>
      </c>
      <c r="E475" s="66">
        <f t="shared" si="123"/>
        <v>0</v>
      </c>
      <c r="F475" s="13">
        <f t="shared" si="124"/>
        <v>0</v>
      </c>
      <c r="G475" s="67">
        <f t="shared" si="125"/>
        <v>0</v>
      </c>
      <c r="H475" s="64">
        <f t="shared" si="121"/>
        <v>0</v>
      </c>
      <c r="I475" s="80">
        <v>0</v>
      </c>
      <c r="J475" s="80">
        <v>0</v>
      </c>
      <c r="K475" s="59">
        <f t="shared" si="126"/>
        <v>0</v>
      </c>
      <c r="L475" s="59">
        <v>0</v>
      </c>
      <c r="M475" s="59">
        <v>0</v>
      </c>
      <c r="N475" s="59">
        <f t="shared" si="127"/>
        <v>0</v>
      </c>
      <c r="O475" s="15">
        <f t="shared" si="128"/>
        <v>0</v>
      </c>
      <c r="P475" s="87">
        <f t="shared" si="129"/>
        <v>0</v>
      </c>
      <c r="Q475" s="110">
        <v>0</v>
      </c>
      <c r="R475" s="59">
        <v>0</v>
      </c>
      <c r="S475" s="14">
        <v>0</v>
      </c>
      <c r="T475" s="59">
        <v>0</v>
      </c>
      <c r="U475" s="15">
        <f t="shared" si="122"/>
        <v>0</v>
      </c>
      <c r="V475" s="14">
        <v>0</v>
      </c>
      <c r="W475" s="15">
        <f t="shared" si="130"/>
        <v>0</v>
      </c>
      <c r="X475" s="14">
        <v>0</v>
      </c>
      <c r="Y475" s="75">
        <v>0</v>
      </c>
      <c r="Z475" s="87">
        <f t="shared" si="131"/>
        <v>0</v>
      </c>
      <c r="AA475" s="14">
        <f t="shared" si="132"/>
        <v>0</v>
      </c>
      <c r="AB475" s="75">
        <v>0</v>
      </c>
      <c r="AC475" s="75">
        <v>0</v>
      </c>
      <c r="AD475" s="59">
        <f t="shared" si="133"/>
        <v>0</v>
      </c>
      <c r="AE475" s="73">
        <v>0</v>
      </c>
      <c r="AF475" s="73">
        <v>0</v>
      </c>
      <c r="AG475" s="15">
        <f t="shared" si="134"/>
        <v>0</v>
      </c>
      <c r="AH475" s="16">
        <f t="shared" si="135"/>
        <v>0</v>
      </c>
      <c r="AI475" s="17">
        <f t="shared" si="136"/>
        <v>0</v>
      </c>
      <c r="AJ475" s="12">
        <f>VLOOKUP(A475,'PreK Proxy - Sept. 2024'!$A$2:$I$674,9,FALSE)</f>
        <v>132</v>
      </c>
      <c r="AK475" s="18">
        <f t="shared" si="137"/>
        <v>0</v>
      </c>
    </row>
    <row r="476" spans="1:37" x14ac:dyDescent="0.35">
      <c r="A476" s="11" t="s">
        <v>958</v>
      </c>
      <c r="B476" s="12" t="s">
        <v>959</v>
      </c>
      <c r="C476" s="54" t="s">
        <v>1382</v>
      </c>
      <c r="D476" s="54" t="s">
        <v>18</v>
      </c>
      <c r="E476" s="66">
        <f t="shared" si="123"/>
        <v>14</v>
      </c>
      <c r="F476" s="13">
        <f t="shared" si="124"/>
        <v>14</v>
      </c>
      <c r="G476" s="67">
        <f t="shared" si="125"/>
        <v>0</v>
      </c>
      <c r="H476" s="64">
        <f t="shared" si="121"/>
        <v>0</v>
      </c>
      <c r="I476" s="80">
        <v>0</v>
      </c>
      <c r="J476" s="80">
        <v>0</v>
      </c>
      <c r="K476" s="59">
        <f t="shared" si="126"/>
        <v>0</v>
      </c>
      <c r="L476" s="59">
        <v>0</v>
      </c>
      <c r="M476" s="59">
        <v>0</v>
      </c>
      <c r="N476" s="59">
        <f t="shared" si="127"/>
        <v>0</v>
      </c>
      <c r="O476" s="15">
        <f t="shared" si="128"/>
        <v>0</v>
      </c>
      <c r="P476" s="87">
        <f t="shared" si="129"/>
        <v>14</v>
      </c>
      <c r="Q476" s="110">
        <v>0</v>
      </c>
      <c r="R476" s="59">
        <v>14</v>
      </c>
      <c r="S476" s="14">
        <v>0</v>
      </c>
      <c r="T476" s="59">
        <v>0</v>
      </c>
      <c r="U476" s="15">
        <f t="shared" si="122"/>
        <v>0</v>
      </c>
      <c r="V476" s="14">
        <v>0</v>
      </c>
      <c r="W476" s="15">
        <f t="shared" si="130"/>
        <v>0</v>
      </c>
      <c r="X476" s="14">
        <v>0</v>
      </c>
      <c r="Y476" s="75">
        <v>0</v>
      </c>
      <c r="Z476" s="87">
        <f t="shared" si="131"/>
        <v>0</v>
      </c>
      <c r="AA476" s="14">
        <f t="shared" si="132"/>
        <v>0</v>
      </c>
      <c r="AB476" s="75">
        <v>0</v>
      </c>
      <c r="AC476" s="75">
        <v>0</v>
      </c>
      <c r="AD476" s="59">
        <f t="shared" si="133"/>
        <v>0</v>
      </c>
      <c r="AE476" s="73">
        <v>0</v>
      </c>
      <c r="AF476" s="73">
        <v>0</v>
      </c>
      <c r="AG476" s="15">
        <f t="shared" si="134"/>
        <v>0</v>
      </c>
      <c r="AH476" s="16">
        <f t="shared" si="135"/>
        <v>0</v>
      </c>
      <c r="AI476" s="17">
        <f t="shared" si="136"/>
        <v>14</v>
      </c>
      <c r="AJ476" s="12">
        <f>VLOOKUP(A476,'PreK Proxy - Sept. 2024'!$A$2:$I$674,9,FALSE)</f>
        <v>268</v>
      </c>
      <c r="AK476" s="18">
        <f t="shared" si="137"/>
        <v>5.2238805970149252E-2</v>
      </c>
    </row>
    <row r="477" spans="1:37" x14ac:dyDescent="0.35">
      <c r="A477" s="11" t="s">
        <v>960</v>
      </c>
      <c r="B477" s="12" t="s">
        <v>961</v>
      </c>
      <c r="C477" s="54" t="s">
        <v>1382</v>
      </c>
      <c r="D477" s="54" t="s">
        <v>18</v>
      </c>
      <c r="E477" s="66">
        <f t="shared" si="123"/>
        <v>0</v>
      </c>
      <c r="F477" s="13">
        <f t="shared" si="124"/>
        <v>0</v>
      </c>
      <c r="G477" s="67">
        <f t="shared" si="125"/>
        <v>0</v>
      </c>
      <c r="H477" s="64">
        <f t="shared" si="121"/>
        <v>0</v>
      </c>
      <c r="I477" s="80">
        <v>0</v>
      </c>
      <c r="J477" s="80">
        <v>0</v>
      </c>
      <c r="K477" s="59">
        <f t="shared" si="126"/>
        <v>0</v>
      </c>
      <c r="L477" s="59">
        <v>0</v>
      </c>
      <c r="M477" s="59">
        <v>0</v>
      </c>
      <c r="N477" s="59">
        <f t="shared" si="127"/>
        <v>0</v>
      </c>
      <c r="O477" s="15">
        <f t="shared" si="128"/>
        <v>0</v>
      </c>
      <c r="P477" s="87">
        <f t="shared" si="129"/>
        <v>0</v>
      </c>
      <c r="Q477" s="110">
        <v>0</v>
      </c>
      <c r="R477" s="59">
        <v>0</v>
      </c>
      <c r="S477" s="14">
        <v>0</v>
      </c>
      <c r="T477" s="59">
        <v>0</v>
      </c>
      <c r="U477" s="15">
        <f t="shared" si="122"/>
        <v>0</v>
      </c>
      <c r="V477" s="14">
        <v>0</v>
      </c>
      <c r="W477" s="15">
        <f t="shared" si="130"/>
        <v>0</v>
      </c>
      <c r="X477" s="14">
        <v>0</v>
      </c>
      <c r="Y477" s="75">
        <v>0</v>
      </c>
      <c r="Z477" s="87">
        <f t="shared" si="131"/>
        <v>0</v>
      </c>
      <c r="AA477" s="14">
        <f t="shared" si="132"/>
        <v>0</v>
      </c>
      <c r="AB477" s="75">
        <v>0</v>
      </c>
      <c r="AC477" s="75">
        <v>0</v>
      </c>
      <c r="AD477" s="59">
        <f t="shared" si="133"/>
        <v>0</v>
      </c>
      <c r="AE477" s="73">
        <v>0</v>
      </c>
      <c r="AF477" s="73">
        <v>0</v>
      </c>
      <c r="AG477" s="15">
        <f t="shared" si="134"/>
        <v>0</v>
      </c>
      <c r="AH477" s="16">
        <f t="shared" si="135"/>
        <v>0</v>
      </c>
      <c r="AI477" s="17">
        <f t="shared" si="136"/>
        <v>0</v>
      </c>
      <c r="AJ477" s="12">
        <f>VLOOKUP(A477,'PreK Proxy - Sept. 2024'!$A$2:$I$674,9,FALSE)</f>
        <v>122</v>
      </c>
      <c r="AK477" s="18">
        <f t="shared" si="137"/>
        <v>0</v>
      </c>
    </row>
    <row r="478" spans="1:37" x14ac:dyDescent="0.35">
      <c r="A478" s="11" t="s">
        <v>962</v>
      </c>
      <c r="B478" s="12" t="s">
        <v>963</v>
      </c>
      <c r="C478" s="54" t="s">
        <v>1382</v>
      </c>
      <c r="D478" s="54" t="s">
        <v>18</v>
      </c>
      <c r="E478" s="66">
        <f t="shared" si="123"/>
        <v>0</v>
      </c>
      <c r="F478" s="13">
        <f t="shared" si="124"/>
        <v>0</v>
      </c>
      <c r="G478" s="67">
        <f t="shared" si="125"/>
        <v>0</v>
      </c>
      <c r="H478" s="64">
        <f t="shared" si="121"/>
        <v>0</v>
      </c>
      <c r="I478" s="80">
        <v>0</v>
      </c>
      <c r="J478" s="80">
        <v>0</v>
      </c>
      <c r="K478" s="59">
        <f t="shared" si="126"/>
        <v>0</v>
      </c>
      <c r="L478" s="59">
        <v>0</v>
      </c>
      <c r="M478" s="59">
        <v>0</v>
      </c>
      <c r="N478" s="59">
        <f t="shared" si="127"/>
        <v>0</v>
      </c>
      <c r="O478" s="15">
        <f t="shared" si="128"/>
        <v>0</v>
      </c>
      <c r="P478" s="87">
        <f t="shared" si="129"/>
        <v>0</v>
      </c>
      <c r="Q478" s="110">
        <v>0</v>
      </c>
      <c r="R478" s="59">
        <v>0</v>
      </c>
      <c r="S478" s="14">
        <v>0</v>
      </c>
      <c r="T478" s="59">
        <v>0</v>
      </c>
      <c r="U478" s="15">
        <f t="shared" si="122"/>
        <v>0</v>
      </c>
      <c r="V478" s="14">
        <v>0</v>
      </c>
      <c r="W478" s="15">
        <f t="shared" si="130"/>
        <v>0</v>
      </c>
      <c r="X478" s="14">
        <v>0</v>
      </c>
      <c r="Y478" s="75">
        <v>0</v>
      </c>
      <c r="Z478" s="87">
        <f t="shared" si="131"/>
        <v>0</v>
      </c>
      <c r="AA478" s="14">
        <f t="shared" si="132"/>
        <v>0</v>
      </c>
      <c r="AB478" s="75">
        <v>0</v>
      </c>
      <c r="AC478" s="75">
        <v>0</v>
      </c>
      <c r="AD478" s="59">
        <f t="shared" si="133"/>
        <v>0</v>
      </c>
      <c r="AE478" s="73">
        <v>0</v>
      </c>
      <c r="AF478" s="73">
        <v>0</v>
      </c>
      <c r="AG478" s="15">
        <f t="shared" si="134"/>
        <v>0</v>
      </c>
      <c r="AH478" s="16">
        <f t="shared" si="135"/>
        <v>0</v>
      </c>
      <c r="AI478" s="17">
        <f t="shared" si="136"/>
        <v>0</v>
      </c>
      <c r="AJ478" s="12">
        <f>VLOOKUP(A478,'PreK Proxy - Sept. 2024'!$A$2:$I$674,9,FALSE)</f>
        <v>164</v>
      </c>
      <c r="AK478" s="18">
        <f t="shared" si="137"/>
        <v>0</v>
      </c>
    </row>
    <row r="479" spans="1:37" x14ac:dyDescent="0.35">
      <c r="A479" s="11" t="s">
        <v>964</v>
      </c>
      <c r="B479" s="12" t="s">
        <v>965</v>
      </c>
      <c r="C479" s="54" t="s">
        <v>1382</v>
      </c>
      <c r="D479" s="54" t="s">
        <v>18</v>
      </c>
      <c r="E479" s="66">
        <f t="shared" si="123"/>
        <v>421</v>
      </c>
      <c r="F479" s="13">
        <f t="shared" si="124"/>
        <v>421</v>
      </c>
      <c r="G479" s="67">
        <f t="shared" si="125"/>
        <v>0</v>
      </c>
      <c r="H479" s="64">
        <f t="shared" si="121"/>
        <v>421</v>
      </c>
      <c r="I479" s="80">
        <v>0</v>
      </c>
      <c r="J479" s="80">
        <v>0</v>
      </c>
      <c r="K479" s="59">
        <f t="shared" si="126"/>
        <v>0</v>
      </c>
      <c r="L479" s="59">
        <v>14</v>
      </c>
      <c r="M479" s="59">
        <v>407</v>
      </c>
      <c r="N479" s="59">
        <f t="shared" si="127"/>
        <v>421</v>
      </c>
      <c r="O479" s="15">
        <f t="shared" si="128"/>
        <v>0</v>
      </c>
      <c r="P479" s="87">
        <f t="shared" si="129"/>
        <v>0</v>
      </c>
      <c r="Q479" s="110">
        <v>0</v>
      </c>
      <c r="R479" s="59">
        <v>0</v>
      </c>
      <c r="S479" s="14">
        <v>0</v>
      </c>
      <c r="T479" s="59">
        <v>0</v>
      </c>
      <c r="U479" s="15">
        <f t="shared" si="122"/>
        <v>0</v>
      </c>
      <c r="V479" s="14">
        <v>0</v>
      </c>
      <c r="W479" s="15">
        <f t="shared" si="130"/>
        <v>0</v>
      </c>
      <c r="X479" s="14">
        <v>0</v>
      </c>
      <c r="Y479" s="75">
        <v>0</v>
      </c>
      <c r="Z479" s="87">
        <f t="shared" si="131"/>
        <v>0</v>
      </c>
      <c r="AA479" s="14">
        <f t="shared" si="132"/>
        <v>0</v>
      </c>
      <c r="AB479" s="75">
        <v>0</v>
      </c>
      <c r="AC479" s="75">
        <v>0</v>
      </c>
      <c r="AD479" s="59">
        <f t="shared" si="133"/>
        <v>0</v>
      </c>
      <c r="AE479" s="73">
        <v>0</v>
      </c>
      <c r="AF479" s="73">
        <v>0</v>
      </c>
      <c r="AG479" s="15">
        <f t="shared" si="134"/>
        <v>0</v>
      </c>
      <c r="AH479" s="16">
        <f t="shared" si="135"/>
        <v>0</v>
      </c>
      <c r="AI479" s="17">
        <f t="shared" si="136"/>
        <v>407</v>
      </c>
      <c r="AJ479" s="12">
        <f>VLOOKUP(A479,'PreK Proxy - Sept. 2024'!$A$2:$I$674,9,FALSE)</f>
        <v>387</v>
      </c>
      <c r="AK479" s="18">
        <f t="shared" si="137"/>
        <v>1</v>
      </c>
    </row>
    <row r="480" spans="1:37" x14ac:dyDescent="0.35">
      <c r="A480" s="11" t="s">
        <v>966</v>
      </c>
      <c r="B480" s="12" t="s">
        <v>967</v>
      </c>
      <c r="C480" s="54" t="s">
        <v>1384</v>
      </c>
      <c r="D480" s="54" t="s">
        <v>366</v>
      </c>
      <c r="E480" s="66">
        <f t="shared" si="123"/>
        <v>11</v>
      </c>
      <c r="F480" s="13">
        <f t="shared" si="124"/>
        <v>11</v>
      </c>
      <c r="G480" s="67">
        <f t="shared" si="125"/>
        <v>0</v>
      </c>
      <c r="H480" s="64">
        <f t="shared" si="121"/>
        <v>11</v>
      </c>
      <c r="I480" s="80">
        <v>0</v>
      </c>
      <c r="J480" s="80">
        <v>0</v>
      </c>
      <c r="K480" s="59">
        <f t="shared" si="126"/>
        <v>0</v>
      </c>
      <c r="L480" s="59">
        <v>0</v>
      </c>
      <c r="M480" s="59">
        <v>11</v>
      </c>
      <c r="N480" s="59">
        <f t="shared" si="127"/>
        <v>11</v>
      </c>
      <c r="O480" s="15">
        <f t="shared" si="128"/>
        <v>0</v>
      </c>
      <c r="P480" s="87">
        <f t="shared" si="129"/>
        <v>0</v>
      </c>
      <c r="Q480" s="110">
        <v>0</v>
      </c>
      <c r="R480" s="59">
        <v>0</v>
      </c>
      <c r="S480" s="14">
        <v>0</v>
      </c>
      <c r="T480" s="59">
        <v>0</v>
      </c>
      <c r="U480" s="15">
        <f t="shared" si="122"/>
        <v>0</v>
      </c>
      <c r="V480" s="14">
        <v>0</v>
      </c>
      <c r="W480" s="15">
        <f t="shared" si="130"/>
        <v>0</v>
      </c>
      <c r="X480" s="14">
        <v>0</v>
      </c>
      <c r="Y480" s="75">
        <v>0</v>
      </c>
      <c r="Z480" s="87">
        <f t="shared" si="131"/>
        <v>0</v>
      </c>
      <c r="AA480" s="14">
        <f t="shared" si="132"/>
        <v>0</v>
      </c>
      <c r="AB480" s="75">
        <v>0</v>
      </c>
      <c r="AC480" s="75">
        <v>0</v>
      </c>
      <c r="AD480" s="59">
        <f t="shared" si="133"/>
        <v>0</v>
      </c>
      <c r="AE480" s="73">
        <v>0</v>
      </c>
      <c r="AF480" s="73">
        <v>0</v>
      </c>
      <c r="AG480" s="15">
        <f t="shared" si="134"/>
        <v>0</v>
      </c>
      <c r="AH480" s="16">
        <f t="shared" si="135"/>
        <v>0</v>
      </c>
      <c r="AI480" s="17">
        <f t="shared" si="136"/>
        <v>11</v>
      </c>
      <c r="AJ480" s="12">
        <f>VLOOKUP(A480,'PreK Proxy - Sept. 2024'!$A$2:$I$674,9,FALSE)</f>
        <v>19</v>
      </c>
      <c r="AK480" s="18">
        <f t="shared" si="137"/>
        <v>0.57894736842105265</v>
      </c>
    </row>
    <row r="481" spans="1:37" x14ac:dyDescent="0.35">
      <c r="A481" s="11" t="s">
        <v>968</v>
      </c>
      <c r="B481" s="12" t="s">
        <v>969</v>
      </c>
      <c r="C481" s="54" t="s">
        <v>1384</v>
      </c>
      <c r="D481" s="54" t="s">
        <v>366</v>
      </c>
      <c r="E481" s="66">
        <f t="shared" si="123"/>
        <v>7</v>
      </c>
      <c r="F481" s="13">
        <f t="shared" si="124"/>
        <v>0</v>
      </c>
      <c r="G481" s="67">
        <f t="shared" si="125"/>
        <v>7</v>
      </c>
      <c r="H481" s="64">
        <f t="shared" si="121"/>
        <v>7</v>
      </c>
      <c r="I481" s="80">
        <v>0</v>
      </c>
      <c r="J481" s="80">
        <v>7</v>
      </c>
      <c r="K481" s="59">
        <f t="shared" si="126"/>
        <v>7</v>
      </c>
      <c r="L481" s="59">
        <v>0</v>
      </c>
      <c r="M481" s="59">
        <v>0</v>
      </c>
      <c r="N481" s="59">
        <f t="shared" si="127"/>
        <v>0</v>
      </c>
      <c r="O481" s="15">
        <f t="shared" si="128"/>
        <v>0</v>
      </c>
      <c r="P481" s="87">
        <f t="shared" si="129"/>
        <v>0</v>
      </c>
      <c r="Q481" s="110">
        <v>0</v>
      </c>
      <c r="R481" s="59">
        <v>0</v>
      </c>
      <c r="S481" s="14">
        <v>0</v>
      </c>
      <c r="T481" s="59">
        <v>0</v>
      </c>
      <c r="U481" s="15">
        <f t="shared" si="122"/>
        <v>0</v>
      </c>
      <c r="V481" s="14">
        <v>0</v>
      </c>
      <c r="W481" s="15">
        <f t="shared" si="130"/>
        <v>0</v>
      </c>
      <c r="X481" s="14">
        <v>0</v>
      </c>
      <c r="Y481" s="75">
        <v>0</v>
      </c>
      <c r="Z481" s="87">
        <f t="shared" si="131"/>
        <v>0</v>
      </c>
      <c r="AA481" s="14">
        <f t="shared" si="132"/>
        <v>0</v>
      </c>
      <c r="AB481" s="75">
        <v>0</v>
      </c>
      <c r="AC481" s="75">
        <v>0</v>
      </c>
      <c r="AD481" s="59">
        <f t="shared" si="133"/>
        <v>0</v>
      </c>
      <c r="AE481" s="73">
        <v>0</v>
      </c>
      <c r="AF481" s="73">
        <v>0</v>
      </c>
      <c r="AG481" s="15">
        <f t="shared" si="134"/>
        <v>0</v>
      </c>
      <c r="AH481" s="16">
        <f t="shared" si="135"/>
        <v>7</v>
      </c>
      <c r="AI481" s="17">
        <f t="shared" si="136"/>
        <v>0</v>
      </c>
      <c r="AJ481" s="12">
        <f>VLOOKUP(A481,'PreK Proxy - Sept. 2024'!$A$2:$I$674,9,FALSE)</f>
        <v>8</v>
      </c>
      <c r="AK481" s="18">
        <f t="shared" si="137"/>
        <v>0.875</v>
      </c>
    </row>
    <row r="482" spans="1:37" x14ac:dyDescent="0.35">
      <c r="A482" s="11" t="s">
        <v>970</v>
      </c>
      <c r="B482" s="12" t="s">
        <v>971</v>
      </c>
      <c r="C482" s="54" t="s">
        <v>1384</v>
      </c>
      <c r="D482" s="54" t="s">
        <v>366</v>
      </c>
      <c r="E482" s="66">
        <f t="shared" si="123"/>
        <v>40</v>
      </c>
      <c r="F482" s="13">
        <f t="shared" si="124"/>
        <v>18</v>
      </c>
      <c r="G482" s="67">
        <f t="shared" si="125"/>
        <v>22</v>
      </c>
      <c r="H482" s="64">
        <f t="shared" si="121"/>
        <v>40</v>
      </c>
      <c r="I482" s="80">
        <v>0</v>
      </c>
      <c r="J482" s="80">
        <v>22</v>
      </c>
      <c r="K482" s="59">
        <f t="shared" si="126"/>
        <v>22</v>
      </c>
      <c r="L482" s="59">
        <v>18</v>
      </c>
      <c r="M482" s="59">
        <v>0</v>
      </c>
      <c r="N482" s="59">
        <f t="shared" si="127"/>
        <v>18</v>
      </c>
      <c r="O482" s="15">
        <f t="shared" si="128"/>
        <v>0</v>
      </c>
      <c r="P482" s="87">
        <f t="shared" si="129"/>
        <v>0</v>
      </c>
      <c r="Q482" s="110">
        <v>0</v>
      </c>
      <c r="R482" s="59">
        <v>0</v>
      </c>
      <c r="S482" s="14">
        <v>0</v>
      </c>
      <c r="T482" s="59">
        <v>0</v>
      </c>
      <c r="U482" s="15">
        <f t="shared" si="122"/>
        <v>0</v>
      </c>
      <c r="V482" s="14">
        <v>0</v>
      </c>
      <c r="W482" s="15">
        <f t="shared" si="130"/>
        <v>0</v>
      </c>
      <c r="X482" s="14">
        <v>0</v>
      </c>
      <c r="Y482" s="75">
        <v>0</v>
      </c>
      <c r="Z482" s="87">
        <f t="shared" si="131"/>
        <v>0</v>
      </c>
      <c r="AA482" s="14">
        <f t="shared" si="132"/>
        <v>0</v>
      </c>
      <c r="AB482" s="75">
        <v>0</v>
      </c>
      <c r="AC482" s="75">
        <v>0</v>
      </c>
      <c r="AD482" s="59">
        <f t="shared" si="133"/>
        <v>0</v>
      </c>
      <c r="AE482" s="73">
        <v>0</v>
      </c>
      <c r="AF482" s="73">
        <v>0</v>
      </c>
      <c r="AG482" s="15">
        <f t="shared" si="134"/>
        <v>0</v>
      </c>
      <c r="AH482" s="16">
        <f t="shared" si="135"/>
        <v>22</v>
      </c>
      <c r="AI482" s="17">
        <f t="shared" si="136"/>
        <v>0</v>
      </c>
      <c r="AJ482" s="12">
        <f>VLOOKUP(A482,'PreK Proxy - Sept. 2024'!$A$2:$I$674,9,FALSE)</f>
        <v>42</v>
      </c>
      <c r="AK482" s="18">
        <f t="shared" si="137"/>
        <v>0.52380952380952384</v>
      </c>
    </row>
    <row r="483" spans="1:37" x14ac:dyDescent="0.35">
      <c r="A483" s="11" t="s">
        <v>972</v>
      </c>
      <c r="B483" s="12" t="s">
        <v>973</v>
      </c>
      <c r="C483" s="54" t="s">
        <v>1384</v>
      </c>
      <c r="D483" s="54" t="s">
        <v>366</v>
      </c>
      <c r="E483" s="66">
        <f t="shared" si="123"/>
        <v>53</v>
      </c>
      <c r="F483" s="13">
        <f t="shared" si="124"/>
        <v>53</v>
      </c>
      <c r="G483" s="67">
        <f t="shared" si="125"/>
        <v>0</v>
      </c>
      <c r="H483" s="64">
        <f t="shared" si="121"/>
        <v>53</v>
      </c>
      <c r="I483" s="80">
        <v>0</v>
      </c>
      <c r="J483" s="80">
        <v>0</v>
      </c>
      <c r="K483" s="59">
        <f t="shared" si="126"/>
        <v>0</v>
      </c>
      <c r="L483" s="59">
        <v>11</v>
      </c>
      <c r="M483" s="59">
        <v>42</v>
      </c>
      <c r="N483" s="59">
        <f t="shared" si="127"/>
        <v>53</v>
      </c>
      <c r="O483" s="15">
        <f t="shared" si="128"/>
        <v>0</v>
      </c>
      <c r="P483" s="87">
        <f t="shared" si="129"/>
        <v>0</v>
      </c>
      <c r="Q483" s="110">
        <v>0</v>
      </c>
      <c r="R483" s="59">
        <v>0</v>
      </c>
      <c r="S483" s="14">
        <v>0</v>
      </c>
      <c r="T483" s="59">
        <v>0</v>
      </c>
      <c r="U483" s="15">
        <f t="shared" si="122"/>
        <v>0</v>
      </c>
      <c r="V483" s="14">
        <v>0</v>
      </c>
      <c r="W483" s="15">
        <f t="shared" si="130"/>
        <v>0</v>
      </c>
      <c r="X483" s="14">
        <v>0</v>
      </c>
      <c r="Y483" s="75">
        <v>0</v>
      </c>
      <c r="Z483" s="87">
        <f t="shared" si="131"/>
        <v>0</v>
      </c>
      <c r="AA483" s="14">
        <f t="shared" si="132"/>
        <v>0</v>
      </c>
      <c r="AB483" s="75">
        <v>0</v>
      </c>
      <c r="AC483" s="75">
        <v>0</v>
      </c>
      <c r="AD483" s="59">
        <f t="shared" si="133"/>
        <v>0</v>
      </c>
      <c r="AE483" s="73">
        <v>0</v>
      </c>
      <c r="AF483" s="73">
        <v>0</v>
      </c>
      <c r="AG483" s="15">
        <f t="shared" si="134"/>
        <v>0</v>
      </c>
      <c r="AH483" s="16">
        <f t="shared" si="135"/>
        <v>0</v>
      </c>
      <c r="AI483" s="17">
        <f t="shared" si="136"/>
        <v>42</v>
      </c>
      <c r="AJ483" s="12">
        <f>VLOOKUP(A483,'PreK Proxy - Sept. 2024'!$A$2:$I$674,9,FALSE)</f>
        <v>101</v>
      </c>
      <c r="AK483" s="18">
        <f t="shared" si="137"/>
        <v>0.41584158415841582</v>
      </c>
    </row>
    <row r="484" spans="1:37" x14ac:dyDescent="0.35">
      <c r="A484" s="11" t="s">
        <v>974</v>
      </c>
      <c r="B484" s="12" t="s">
        <v>975</v>
      </c>
      <c r="C484" s="54" t="s">
        <v>1384</v>
      </c>
      <c r="D484" s="54" t="s">
        <v>366</v>
      </c>
      <c r="E484" s="66">
        <f t="shared" si="123"/>
        <v>39</v>
      </c>
      <c r="F484" s="13">
        <f t="shared" si="124"/>
        <v>39</v>
      </c>
      <c r="G484" s="67">
        <f t="shared" si="125"/>
        <v>0</v>
      </c>
      <c r="H484" s="64">
        <f t="shared" si="121"/>
        <v>39</v>
      </c>
      <c r="I484" s="80">
        <v>0</v>
      </c>
      <c r="J484" s="80">
        <v>0</v>
      </c>
      <c r="K484" s="59">
        <f t="shared" si="126"/>
        <v>0</v>
      </c>
      <c r="L484" s="59">
        <v>0</v>
      </c>
      <c r="M484" s="59">
        <v>39</v>
      </c>
      <c r="N484" s="59">
        <f t="shared" si="127"/>
        <v>39</v>
      </c>
      <c r="O484" s="15">
        <f t="shared" si="128"/>
        <v>0</v>
      </c>
      <c r="P484" s="87">
        <f t="shared" si="129"/>
        <v>0</v>
      </c>
      <c r="Q484" s="110">
        <v>0</v>
      </c>
      <c r="R484" s="59">
        <v>0</v>
      </c>
      <c r="S484" s="14">
        <v>0</v>
      </c>
      <c r="T484" s="59">
        <v>0</v>
      </c>
      <c r="U484" s="15">
        <f t="shared" si="122"/>
        <v>0</v>
      </c>
      <c r="V484" s="14">
        <v>0</v>
      </c>
      <c r="W484" s="15">
        <f t="shared" si="130"/>
        <v>0</v>
      </c>
      <c r="X484" s="14">
        <v>0</v>
      </c>
      <c r="Y484" s="75">
        <v>0</v>
      </c>
      <c r="Z484" s="87">
        <f t="shared" si="131"/>
        <v>0</v>
      </c>
      <c r="AA484" s="14">
        <f t="shared" si="132"/>
        <v>0</v>
      </c>
      <c r="AB484" s="75">
        <v>0</v>
      </c>
      <c r="AC484" s="75">
        <v>0</v>
      </c>
      <c r="AD484" s="59">
        <f t="shared" si="133"/>
        <v>0</v>
      </c>
      <c r="AE484" s="73">
        <v>0</v>
      </c>
      <c r="AF484" s="73">
        <v>0</v>
      </c>
      <c r="AG484" s="15">
        <f t="shared" si="134"/>
        <v>0</v>
      </c>
      <c r="AH484" s="16">
        <f t="shared" si="135"/>
        <v>0</v>
      </c>
      <c r="AI484" s="17">
        <f t="shared" si="136"/>
        <v>39</v>
      </c>
      <c r="AJ484" s="12">
        <f>VLOOKUP(A484,'PreK Proxy - Sept. 2024'!$A$2:$I$674,9,FALSE)</f>
        <v>51</v>
      </c>
      <c r="AK484" s="18">
        <f t="shared" si="137"/>
        <v>0.76470588235294112</v>
      </c>
    </row>
    <row r="485" spans="1:37" x14ac:dyDescent="0.35">
      <c r="A485" s="11" t="s">
        <v>976</v>
      </c>
      <c r="B485" s="12" t="s">
        <v>977</v>
      </c>
      <c r="C485" s="54" t="s">
        <v>1384</v>
      </c>
      <c r="D485" s="54" t="s">
        <v>366</v>
      </c>
      <c r="E485" s="66">
        <f t="shared" si="123"/>
        <v>12</v>
      </c>
      <c r="F485" s="13">
        <f t="shared" si="124"/>
        <v>0</v>
      </c>
      <c r="G485" s="67">
        <f t="shared" si="125"/>
        <v>12</v>
      </c>
      <c r="H485" s="64">
        <f t="shared" si="121"/>
        <v>12</v>
      </c>
      <c r="I485" s="80">
        <v>0</v>
      </c>
      <c r="J485" s="80">
        <v>12</v>
      </c>
      <c r="K485" s="59">
        <f t="shared" si="126"/>
        <v>12</v>
      </c>
      <c r="L485" s="59">
        <v>0</v>
      </c>
      <c r="M485" s="59">
        <v>0</v>
      </c>
      <c r="N485" s="59">
        <f t="shared" si="127"/>
        <v>0</v>
      </c>
      <c r="O485" s="15">
        <f t="shared" si="128"/>
        <v>0</v>
      </c>
      <c r="P485" s="87">
        <f t="shared" si="129"/>
        <v>0</v>
      </c>
      <c r="Q485" s="110">
        <v>0</v>
      </c>
      <c r="R485" s="59">
        <v>0</v>
      </c>
      <c r="S485" s="14">
        <v>0</v>
      </c>
      <c r="T485" s="59">
        <v>0</v>
      </c>
      <c r="U485" s="15">
        <f t="shared" si="122"/>
        <v>0</v>
      </c>
      <c r="V485" s="14">
        <v>0</v>
      </c>
      <c r="W485" s="15">
        <f t="shared" si="130"/>
        <v>0</v>
      </c>
      <c r="X485" s="14">
        <v>0</v>
      </c>
      <c r="Y485" s="75">
        <v>0</v>
      </c>
      <c r="Z485" s="87">
        <f t="shared" si="131"/>
        <v>0</v>
      </c>
      <c r="AA485" s="14">
        <f t="shared" si="132"/>
        <v>0</v>
      </c>
      <c r="AB485" s="75">
        <v>0</v>
      </c>
      <c r="AC485" s="75">
        <v>0</v>
      </c>
      <c r="AD485" s="59">
        <f t="shared" si="133"/>
        <v>0</v>
      </c>
      <c r="AE485" s="73">
        <v>0</v>
      </c>
      <c r="AF485" s="73">
        <v>0</v>
      </c>
      <c r="AG485" s="15">
        <f t="shared" si="134"/>
        <v>0</v>
      </c>
      <c r="AH485" s="16">
        <f t="shared" si="135"/>
        <v>12</v>
      </c>
      <c r="AI485" s="17">
        <f t="shared" si="136"/>
        <v>0</v>
      </c>
      <c r="AJ485" s="12">
        <f>VLOOKUP(A485,'PreK Proxy - Sept. 2024'!$A$2:$I$674,9,FALSE)</f>
        <v>14</v>
      </c>
      <c r="AK485" s="18">
        <f t="shared" si="137"/>
        <v>0.8571428571428571</v>
      </c>
    </row>
    <row r="486" spans="1:37" x14ac:dyDescent="0.35">
      <c r="A486" s="11" t="s">
        <v>978</v>
      </c>
      <c r="B486" s="12" t="s">
        <v>979</v>
      </c>
      <c r="C486" s="54" t="s">
        <v>1461</v>
      </c>
      <c r="D486" s="54" t="s">
        <v>68</v>
      </c>
      <c r="E486" s="66">
        <f t="shared" si="123"/>
        <v>62</v>
      </c>
      <c r="F486" s="13">
        <f t="shared" si="124"/>
        <v>62</v>
      </c>
      <c r="G486" s="67">
        <f t="shared" si="125"/>
        <v>0</v>
      </c>
      <c r="H486" s="64">
        <f t="shared" si="121"/>
        <v>62</v>
      </c>
      <c r="I486" s="80">
        <v>0</v>
      </c>
      <c r="J486" s="80">
        <v>0</v>
      </c>
      <c r="K486" s="59">
        <f t="shared" si="126"/>
        <v>0</v>
      </c>
      <c r="L486" s="59">
        <v>21</v>
      </c>
      <c r="M486" s="59">
        <v>41</v>
      </c>
      <c r="N486" s="59">
        <f t="shared" si="127"/>
        <v>62</v>
      </c>
      <c r="O486" s="15">
        <f t="shared" si="128"/>
        <v>0</v>
      </c>
      <c r="P486" s="87">
        <f t="shared" si="129"/>
        <v>0</v>
      </c>
      <c r="Q486" s="110">
        <v>0</v>
      </c>
      <c r="R486" s="59">
        <v>0</v>
      </c>
      <c r="S486" s="14">
        <v>0</v>
      </c>
      <c r="T486" s="59">
        <v>0</v>
      </c>
      <c r="U486" s="15">
        <f t="shared" si="122"/>
        <v>0</v>
      </c>
      <c r="V486" s="14">
        <v>0</v>
      </c>
      <c r="W486" s="15">
        <f t="shared" si="130"/>
        <v>0</v>
      </c>
      <c r="X486" s="14">
        <v>0</v>
      </c>
      <c r="Y486" s="75">
        <v>0</v>
      </c>
      <c r="Z486" s="87">
        <f t="shared" si="131"/>
        <v>0</v>
      </c>
      <c r="AA486" s="14">
        <f t="shared" si="132"/>
        <v>0</v>
      </c>
      <c r="AB486" s="75">
        <v>0</v>
      </c>
      <c r="AC486" s="75">
        <v>0</v>
      </c>
      <c r="AD486" s="59">
        <f t="shared" si="133"/>
        <v>0</v>
      </c>
      <c r="AE486" s="73">
        <v>0</v>
      </c>
      <c r="AF486" s="73">
        <v>0</v>
      </c>
      <c r="AG486" s="15">
        <f t="shared" si="134"/>
        <v>0</v>
      </c>
      <c r="AH486" s="16">
        <f t="shared" si="135"/>
        <v>0</v>
      </c>
      <c r="AI486" s="17">
        <f t="shared" si="136"/>
        <v>41</v>
      </c>
      <c r="AJ486" s="12">
        <f>VLOOKUP(A486,'PreK Proxy - Sept. 2024'!$A$2:$I$674,9,FALSE)</f>
        <v>49</v>
      </c>
      <c r="AK486" s="18">
        <f t="shared" si="137"/>
        <v>0.83673469387755106</v>
      </c>
    </row>
    <row r="487" spans="1:37" x14ac:dyDescent="0.35">
      <c r="A487" s="11" t="s">
        <v>980</v>
      </c>
      <c r="B487" s="12" t="s">
        <v>981</v>
      </c>
      <c r="C487" s="54" t="s">
        <v>1461</v>
      </c>
      <c r="D487" s="54" t="s">
        <v>68</v>
      </c>
      <c r="E487" s="66">
        <f t="shared" si="123"/>
        <v>62</v>
      </c>
      <c r="F487" s="13">
        <f t="shared" si="124"/>
        <v>61</v>
      </c>
      <c r="G487" s="67">
        <f t="shared" si="125"/>
        <v>1</v>
      </c>
      <c r="H487" s="64">
        <f t="shared" si="121"/>
        <v>60</v>
      </c>
      <c r="I487" s="80">
        <v>0</v>
      </c>
      <c r="J487" s="80">
        <v>1</v>
      </c>
      <c r="K487" s="59">
        <f t="shared" si="126"/>
        <v>1</v>
      </c>
      <c r="L487" s="59">
        <v>0</v>
      </c>
      <c r="M487" s="59">
        <v>59</v>
      </c>
      <c r="N487" s="59">
        <f t="shared" si="127"/>
        <v>59</v>
      </c>
      <c r="O487" s="15">
        <f t="shared" si="128"/>
        <v>49</v>
      </c>
      <c r="P487" s="87">
        <f t="shared" si="129"/>
        <v>0</v>
      </c>
      <c r="Q487" s="110">
        <v>0</v>
      </c>
      <c r="R487" s="59">
        <v>0</v>
      </c>
      <c r="S487" s="14">
        <v>2</v>
      </c>
      <c r="T487" s="59">
        <v>49</v>
      </c>
      <c r="U487" s="15">
        <f t="shared" si="122"/>
        <v>51</v>
      </c>
      <c r="V487" s="14">
        <v>0</v>
      </c>
      <c r="W487" s="15">
        <f t="shared" si="130"/>
        <v>0</v>
      </c>
      <c r="X487" s="14">
        <v>0</v>
      </c>
      <c r="Y487" s="75">
        <v>0</v>
      </c>
      <c r="Z487" s="87">
        <f t="shared" si="131"/>
        <v>0</v>
      </c>
      <c r="AA487" s="14">
        <f t="shared" si="132"/>
        <v>0</v>
      </c>
      <c r="AB487" s="75">
        <v>0</v>
      </c>
      <c r="AC487" s="75">
        <v>0</v>
      </c>
      <c r="AD487" s="59">
        <f t="shared" si="133"/>
        <v>0</v>
      </c>
      <c r="AE487" s="73">
        <v>0</v>
      </c>
      <c r="AF487" s="73">
        <v>0</v>
      </c>
      <c r="AG487" s="15">
        <f t="shared" si="134"/>
        <v>0</v>
      </c>
      <c r="AH487" s="16">
        <f t="shared" si="135"/>
        <v>1</v>
      </c>
      <c r="AI487" s="17">
        <f t="shared" si="136"/>
        <v>61</v>
      </c>
      <c r="AJ487" s="12">
        <f>VLOOKUP(A487,'PreK Proxy - Sept. 2024'!$A$2:$I$674,9,FALSE)</f>
        <v>45</v>
      </c>
      <c r="AK487" s="18">
        <f t="shared" si="137"/>
        <v>1</v>
      </c>
    </row>
    <row r="488" spans="1:37" x14ac:dyDescent="0.35">
      <c r="A488" s="11" t="s">
        <v>982</v>
      </c>
      <c r="B488" s="12" t="s">
        <v>983</v>
      </c>
      <c r="C488" s="54" t="s">
        <v>1433</v>
      </c>
      <c r="D488" s="54" t="s">
        <v>379</v>
      </c>
      <c r="E488" s="66">
        <f t="shared" si="123"/>
        <v>33</v>
      </c>
      <c r="F488" s="13">
        <f t="shared" si="124"/>
        <v>33</v>
      </c>
      <c r="G488" s="67">
        <f t="shared" si="125"/>
        <v>0</v>
      </c>
      <c r="H488" s="64">
        <f t="shared" si="121"/>
        <v>33</v>
      </c>
      <c r="I488" s="80">
        <v>0</v>
      </c>
      <c r="J488" s="80">
        <v>0</v>
      </c>
      <c r="K488" s="59">
        <f t="shared" si="126"/>
        <v>0</v>
      </c>
      <c r="L488" s="59">
        <v>0</v>
      </c>
      <c r="M488" s="59">
        <v>33</v>
      </c>
      <c r="N488" s="59">
        <f t="shared" si="127"/>
        <v>33</v>
      </c>
      <c r="O488" s="15">
        <f t="shared" si="128"/>
        <v>0</v>
      </c>
      <c r="P488" s="87">
        <f t="shared" si="129"/>
        <v>0</v>
      </c>
      <c r="Q488" s="110">
        <v>0</v>
      </c>
      <c r="R488" s="59">
        <v>0</v>
      </c>
      <c r="S488" s="14">
        <v>0</v>
      </c>
      <c r="T488" s="59">
        <v>0</v>
      </c>
      <c r="U488" s="15">
        <f t="shared" si="122"/>
        <v>0</v>
      </c>
      <c r="V488" s="14">
        <v>0</v>
      </c>
      <c r="W488" s="15">
        <f t="shared" si="130"/>
        <v>0</v>
      </c>
      <c r="X488" s="14">
        <v>0</v>
      </c>
      <c r="Y488" s="75">
        <v>0</v>
      </c>
      <c r="Z488" s="87">
        <f t="shared" si="131"/>
        <v>0</v>
      </c>
      <c r="AA488" s="14">
        <f t="shared" si="132"/>
        <v>0</v>
      </c>
      <c r="AB488" s="75">
        <v>0</v>
      </c>
      <c r="AC488" s="75">
        <v>0</v>
      </c>
      <c r="AD488" s="59">
        <f t="shared" si="133"/>
        <v>0</v>
      </c>
      <c r="AE488" s="73">
        <v>0</v>
      </c>
      <c r="AF488" s="73">
        <v>0</v>
      </c>
      <c r="AG488" s="15">
        <f t="shared" si="134"/>
        <v>0</v>
      </c>
      <c r="AH488" s="16">
        <f t="shared" si="135"/>
        <v>0</v>
      </c>
      <c r="AI488" s="17">
        <f t="shared" si="136"/>
        <v>33</v>
      </c>
      <c r="AJ488" s="12">
        <f>VLOOKUP(A488,'PreK Proxy - Sept. 2024'!$A$2:$I$674,9,FALSE)</f>
        <v>28</v>
      </c>
      <c r="AK488" s="18">
        <f t="shared" si="137"/>
        <v>1</v>
      </c>
    </row>
    <row r="489" spans="1:37" x14ac:dyDescent="0.35">
      <c r="A489" s="11" t="s">
        <v>984</v>
      </c>
      <c r="B489" s="12" t="s">
        <v>985</v>
      </c>
      <c r="C489" s="54" t="s">
        <v>1433</v>
      </c>
      <c r="D489" s="54" t="s">
        <v>379</v>
      </c>
      <c r="E489" s="66">
        <f t="shared" si="123"/>
        <v>22</v>
      </c>
      <c r="F489" s="13">
        <f t="shared" si="124"/>
        <v>22</v>
      </c>
      <c r="G489" s="67">
        <f t="shared" si="125"/>
        <v>0</v>
      </c>
      <c r="H489" s="64">
        <f t="shared" si="121"/>
        <v>22</v>
      </c>
      <c r="I489" s="80">
        <v>0</v>
      </c>
      <c r="J489" s="80">
        <v>0</v>
      </c>
      <c r="K489" s="59">
        <f t="shared" si="126"/>
        <v>0</v>
      </c>
      <c r="L489" s="59">
        <v>0</v>
      </c>
      <c r="M489" s="59">
        <v>22</v>
      </c>
      <c r="N489" s="59">
        <f t="shared" si="127"/>
        <v>22</v>
      </c>
      <c r="O489" s="15">
        <f t="shared" si="128"/>
        <v>0</v>
      </c>
      <c r="P489" s="87">
        <f t="shared" si="129"/>
        <v>0</v>
      </c>
      <c r="Q489" s="110">
        <v>0</v>
      </c>
      <c r="R489" s="59">
        <v>0</v>
      </c>
      <c r="S489" s="14">
        <v>0</v>
      </c>
      <c r="T489" s="59">
        <v>0</v>
      </c>
      <c r="U489" s="15">
        <f t="shared" si="122"/>
        <v>0</v>
      </c>
      <c r="V489" s="14">
        <v>0</v>
      </c>
      <c r="W489" s="15">
        <f t="shared" si="130"/>
        <v>0</v>
      </c>
      <c r="X489" s="14">
        <v>0</v>
      </c>
      <c r="Y489" s="75">
        <v>0</v>
      </c>
      <c r="Z489" s="87">
        <f t="shared" si="131"/>
        <v>0</v>
      </c>
      <c r="AA489" s="14">
        <f t="shared" si="132"/>
        <v>0</v>
      </c>
      <c r="AB489" s="75">
        <v>0</v>
      </c>
      <c r="AC489" s="75">
        <v>0</v>
      </c>
      <c r="AD489" s="59">
        <f t="shared" si="133"/>
        <v>0</v>
      </c>
      <c r="AE489" s="73">
        <v>0</v>
      </c>
      <c r="AF489" s="73">
        <v>0</v>
      </c>
      <c r="AG489" s="15">
        <f t="shared" si="134"/>
        <v>0</v>
      </c>
      <c r="AH489" s="16">
        <f t="shared" si="135"/>
        <v>0</v>
      </c>
      <c r="AI489" s="17">
        <f t="shared" si="136"/>
        <v>22</v>
      </c>
      <c r="AJ489" s="12">
        <f>VLOOKUP(A489,'PreK Proxy - Sept. 2024'!$A$2:$I$674,9,FALSE)</f>
        <v>21</v>
      </c>
      <c r="AK489" s="18">
        <f t="shared" si="137"/>
        <v>1</v>
      </c>
    </row>
    <row r="490" spans="1:37" x14ac:dyDescent="0.35">
      <c r="A490" s="11" t="s">
        <v>986</v>
      </c>
      <c r="B490" s="12" t="s">
        <v>987</v>
      </c>
      <c r="C490" s="54" t="s">
        <v>1433</v>
      </c>
      <c r="D490" s="54" t="s">
        <v>379</v>
      </c>
      <c r="E490" s="66">
        <f t="shared" si="123"/>
        <v>73</v>
      </c>
      <c r="F490" s="13">
        <f t="shared" si="124"/>
        <v>65</v>
      </c>
      <c r="G490" s="67">
        <f t="shared" si="125"/>
        <v>8</v>
      </c>
      <c r="H490" s="64">
        <f t="shared" si="121"/>
        <v>37</v>
      </c>
      <c r="I490" s="80">
        <v>8</v>
      </c>
      <c r="J490" s="80">
        <v>0</v>
      </c>
      <c r="K490" s="59">
        <f t="shared" si="126"/>
        <v>8</v>
      </c>
      <c r="L490" s="59">
        <v>6</v>
      </c>
      <c r="M490" s="59">
        <v>23</v>
      </c>
      <c r="N490" s="59">
        <f t="shared" si="127"/>
        <v>29</v>
      </c>
      <c r="O490" s="15">
        <f t="shared" si="128"/>
        <v>0</v>
      </c>
      <c r="P490" s="87">
        <f t="shared" si="129"/>
        <v>0</v>
      </c>
      <c r="Q490" s="110">
        <v>0</v>
      </c>
      <c r="R490" s="59">
        <v>0</v>
      </c>
      <c r="S490" s="14">
        <v>0</v>
      </c>
      <c r="T490" s="59">
        <v>0</v>
      </c>
      <c r="U490" s="15">
        <f t="shared" si="122"/>
        <v>0</v>
      </c>
      <c r="V490" s="14">
        <v>36</v>
      </c>
      <c r="W490" s="15">
        <f t="shared" si="130"/>
        <v>36</v>
      </c>
      <c r="X490" s="14">
        <v>0</v>
      </c>
      <c r="Y490" s="75">
        <v>0</v>
      </c>
      <c r="Z490" s="87">
        <f t="shared" si="131"/>
        <v>0</v>
      </c>
      <c r="AA490" s="14">
        <f t="shared" si="132"/>
        <v>0</v>
      </c>
      <c r="AB490" s="75">
        <v>0</v>
      </c>
      <c r="AC490" s="75">
        <v>0</v>
      </c>
      <c r="AD490" s="59">
        <f t="shared" si="133"/>
        <v>0</v>
      </c>
      <c r="AE490" s="73">
        <v>0</v>
      </c>
      <c r="AF490" s="73">
        <v>0</v>
      </c>
      <c r="AG490" s="15">
        <f t="shared" si="134"/>
        <v>0</v>
      </c>
      <c r="AH490" s="16">
        <f t="shared" si="135"/>
        <v>0</v>
      </c>
      <c r="AI490" s="17">
        <f t="shared" si="136"/>
        <v>59</v>
      </c>
      <c r="AJ490" s="12">
        <f>VLOOKUP(A490,'PreK Proxy - Sept. 2024'!$A$2:$I$674,9,FALSE)</f>
        <v>63</v>
      </c>
      <c r="AK490" s="18">
        <f t="shared" si="137"/>
        <v>0.93650793650793651</v>
      </c>
    </row>
    <row r="491" spans="1:37" x14ac:dyDescent="0.35">
      <c r="A491" s="11" t="s">
        <v>988</v>
      </c>
      <c r="B491" s="12" t="s">
        <v>989</v>
      </c>
      <c r="C491" s="54" t="s">
        <v>1433</v>
      </c>
      <c r="D491" s="54" t="s">
        <v>379</v>
      </c>
      <c r="E491" s="66">
        <f t="shared" si="123"/>
        <v>54</v>
      </c>
      <c r="F491" s="13">
        <f t="shared" si="124"/>
        <v>54</v>
      </c>
      <c r="G491" s="67">
        <f t="shared" si="125"/>
        <v>0</v>
      </c>
      <c r="H491" s="64">
        <f t="shared" si="121"/>
        <v>46</v>
      </c>
      <c r="I491" s="80">
        <v>0</v>
      </c>
      <c r="J491" s="80">
        <v>0</v>
      </c>
      <c r="K491" s="59">
        <f t="shared" si="126"/>
        <v>0</v>
      </c>
      <c r="L491" s="59">
        <v>0</v>
      </c>
      <c r="M491" s="59">
        <v>46</v>
      </c>
      <c r="N491" s="59">
        <f t="shared" si="127"/>
        <v>46</v>
      </c>
      <c r="O491" s="15">
        <f t="shared" si="128"/>
        <v>0</v>
      </c>
      <c r="P491" s="87">
        <f t="shared" si="129"/>
        <v>0</v>
      </c>
      <c r="Q491" s="110">
        <v>0</v>
      </c>
      <c r="R491" s="59">
        <v>0</v>
      </c>
      <c r="S491" s="14">
        <v>0</v>
      </c>
      <c r="T491" s="59">
        <v>0</v>
      </c>
      <c r="U491" s="15">
        <f t="shared" si="122"/>
        <v>0</v>
      </c>
      <c r="V491" s="14">
        <v>8</v>
      </c>
      <c r="W491" s="15">
        <f t="shared" si="130"/>
        <v>8</v>
      </c>
      <c r="X491" s="14">
        <v>0</v>
      </c>
      <c r="Y491" s="75">
        <v>0</v>
      </c>
      <c r="Z491" s="87">
        <f t="shared" si="131"/>
        <v>0</v>
      </c>
      <c r="AA491" s="14">
        <f t="shared" si="132"/>
        <v>0</v>
      </c>
      <c r="AB491" s="75">
        <v>0</v>
      </c>
      <c r="AC491" s="75">
        <v>0</v>
      </c>
      <c r="AD491" s="59">
        <f t="shared" si="133"/>
        <v>0</v>
      </c>
      <c r="AE491" s="73">
        <v>0</v>
      </c>
      <c r="AF491" s="73">
        <v>0</v>
      </c>
      <c r="AG491" s="15">
        <f t="shared" si="134"/>
        <v>0</v>
      </c>
      <c r="AH491" s="16">
        <f t="shared" si="135"/>
        <v>0</v>
      </c>
      <c r="AI491" s="17">
        <f t="shared" si="136"/>
        <v>54</v>
      </c>
      <c r="AJ491" s="12">
        <f>VLOOKUP(A491,'PreK Proxy - Sept. 2024'!$A$2:$I$674,9,FALSE)</f>
        <v>74</v>
      </c>
      <c r="AK491" s="18">
        <f t="shared" si="137"/>
        <v>0.72972972972972971</v>
      </c>
    </row>
    <row r="492" spans="1:37" x14ac:dyDescent="0.35">
      <c r="A492" s="11" t="s">
        <v>990</v>
      </c>
      <c r="B492" s="12" t="s">
        <v>991</v>
      </c>
      <c r="C492" s="54" t="s">
        <v>1432</v>
      </c>
      <c r="D492" s="54" t="s">
        <v>68</v>
      </c>
      <c r="E492" s="66">
        <f t="shared" si="123"/>
        <v>104</v>
      </c>
      <c r="F492" s="13">
        <f t="shared" si="124"/>
        <v>104</v>
      </c>
      <c r="G492" s="67">
        <f t="shared" si="125"/>
        <v>0</v>
      </c>
      <c r="H492" s="64">
        <f t="shared" si="121"/>
        <v>104</v>
      </c>
      <c r="I492" s="80">
        <v>0</v>
      </c>
      <c r="J492" s="80">
        <v>0</v>
      </c>
      <c r="K492" s="59">
        <f t="shared" si="126"/>
        <v>0</v>
      </c>
      <c r="L492" s="59">
        <v>41</v>
      </c>
      <c r="M492" s="59">
        <v>63</v>
      </c>
      <c r="N492" s="59">
        <f t="shared" si="127"/>
        <v>104</v>
      </c>
      <c r="O492" s="15">
        <f t="shared" si="128"/>
        <v>0</v>
      </c>
      <c r="P492" s="87">
        <f t="shared" si="129"/>
        <v>0</v>
      </c>
      <c r="Q492" s="110">
        <v>0</v>
      </c>
      <c r="R492" s="59">
        <v>0</v>
      </c>
      <c r="S492" s="14">
        <v>0</v>
      </c>
      <c r="T492" s="59">
        <v>0</v>
      </c>
      <c r="U492" s="15">
        <f t="shared" si="122"/>
        <v>0</v>
      </c>
      <c r="V492" s="14">
        <v>0</v>
      </c>
      <c r="W492" s="15">
        <f t="shared" si="130"/>
        <v>0</v>
      </c>
      <c r="X492" s="14">
        <v>0</v>
      </c>
      <c r="Y492" s="75">
        <v>0</v>
      </c>
      <c r="Z492" s="87">
        <f t="shared" si="131"/>
        <v>0</v>
      </c>
      <c r="AA492" s="14">
        <f t="shared" si="132"/>
        <v>0</v>
      </c>
      <c r="AB492" s="75">
        <v>0</v>
      </c>
      <c r="AC492" s="75">
        <v>0</v>
      </c>
      <c r="AD492" s="59">
        <f t="shared" si="133"/>
        <v>0</v>
      </c>
      <c r="AE492" s="73">
        <v>0</v>
      </c>
      <c r="AF492" s="73">
        <v>0</v>
      </c>
      <c r="AG492" s="15">
        <f t="shared" si="134"/>
        <v>0</v>
      </c>
      <c r="AH492" s="16">
        <f t="shared" si="135"/>
        <v>0</v>
      </c>
      <c r="AI492" s="17">
        <f t="shared" si="136"/>
        <v>63</v>
      </c>
      <c r="AJ492" s="12">
        <f>VLOOKUP(A492,'PreK Proxy - Sept. 2024'!$A$2:$I$674,9,FALSE)</f>
        <v>62</v>
      </c>
      <c r="AK492" s="18">
        <f t="shared" si="137"/>
        <v>1</v>
      </c>
    </row>
    <row r="493" spans="1:37" x14ac:dyDescent="0.35">
      <c r="A493" s="11" t="s">
        <v>992</v>
      </c>
      <c r="B493" s="12" t="s">
        <v>993</v>
      </c>
      <c r="C493" s="54" t="s">
        <v>1432</v>
      </c>
      <c r="D493" s="54" t="s">
        <v>68</v>
      </c>
      <c r="E493" s="66">
        <f t="shared" si="123"/>
        <v>21</v>
      </c>
      <c r="F493" s="13">
        <f t="shared" si="124"/>
        <v>21</v>
      </c>
      <c r="G493" s="67">
        <f t="shared" si="125"/>
        <v>0</v>
      </c>
      <c r="H493" s="64">
        <f t="shared" si="121"/>
        <v>21</v>
      </c>
      <c r="I493" s="80">
        <v>0</v>
      </c>
      <c r="J493" s="80">
        <v>0</v>
      </c>
      <c r="K493" s="59">
        <f t="shared" si="126"/>
        <v>0</v>
      </c>
      <c r="L493" s="59">
        <v>0</v>
      </c>
      <c r="M493" s="59">
        <v>21</v>
      </c>
      <c r="N493" s="59">
        <f t="shared" si="127"/>
        <v>21</v>
      </c>
      <c r="O493" s="15">
        <f t="shared" si="128"/>
        <v>0</v>
      </c>
      <c r="P493" s="87">
        <f t="shared" si="129"/>
        <v>0</v>
      </c>
      <c r="Q493" s="110">
        <v>0</v>
      </c>
      <c r="R493" s="59">
        <v>0</v>
      </c>
      <c r="S493" s="14">
        <v>0</v>
      </c>
      <c r="T493" s="59">
        <v>0</v>
      </c>
      <c r="U493" s="15">
        <f t="shared" si="122"/>
        <v>0</v>
      </c>
      <c r="V493" s="14">
        <v>0</v>
      </c>
      <c r="W493" s="15">
        <f t="shared" si="130"/>
        <v>0</v>
      </c>
      <c r="X493" s="14">
        <v>0</v>
      </c>
      <c r="Y493" s="75">
        <v>0</v>
      </c>
      <c r="Z493" s="87">
        <f t="shared" si="131"/>
        <v>0</v>
      </c>
      <c r="AA493" s="14">
        <f t="shared" si="132"/>
        <v>0</v>
      </c>
      <c r="AB493" s="75">
        <v>0</v>
      </c>
      <c r="AC493" s="75">
        <v>0</v>
      </c>
      <c r="AD493" s="59">
        <f t="shared" si="133"/>
        <v>0</v>
      </c>
      <c r="AE493" s="73">
        <v>0</v>
      </c>
      <c r="AF493" s="73">
        <v>0</v>
      </c>
      <c r="AG493" s="15">
        <f t="shared" si="134"/>
        <v>0</v>
      </c>
      <c r="AH493" s="16">
        <f t="shared" si="135"/>
        <v>0</v>
      </c>
      <c r="AI493" s="17">
        <f t="shared" si="136"/>
        <v>21</v>
      </c>
      <c r="AJ493" s="12">
        <f>VLOOKUP(A493,'PreK Proxy - Sept. 2024'!$A$2:$I$674,9,FALSE)</f>
        <v>25</v>
      </c>
      <c r="AK493" s="18">
        <f t="shared" si="137"/>
        <v>0.84</v>
      </c>
    </row>
    <row r="494" spans="1:37" x14ac:dyDescent="0.35">
      <c r="A494" s="11" t="s">
        <v>994</v>
      </c>
      <c r="B494" s="12" t="s">
        <v>995</v>
      </c>
      <c r="C494" s="54" t="s">
        <v>1432</v>
      </c>
      <c r="D494" s="54" t="s">
        <v>68</v>
      </c>
      <c r="E494" s="66">
        <f t="shared" si="123"/>
        <v>90</v>
      </c>
      <c r="F494" s="13">
        <f t="shared" si="124"/>
        <v>90</v>
      </c>
      <c r="G494" s="67">
        <f t="shared" si="125"/>
        <v>0</v>
      </c>
      <c r="H494" s="64">
        <f t="shared" si="121"/>
        <v>90</v>
      </c>
      <c r="I494" s="80">
        <v>0</v>
      </c>
      <c r="J494" s="80">
        <v>0</v>
      </c>
      <c r="K494" s="59">
        <f t="shared" si="126"/>
        <v>0</v>
      </c>
      <c r="L494" s="59">
        <v>25</v>
      </c>
      <c r="M494" s="59">
        <v>65</v>
      </c>
      <c r="N494" s="59">
        <f t="shared" si="127"/>
        <v>90</v>
      </c>
      <c r="O494" s="15">
        <f t="shared" si="128"/>
        <v>0</v>
      </c>
      <c r="P494" s="87">
        <f t="shared" si="129"/>
        <v>0</v>
      </c>
      <c r="Q494" s="110">
        <v>0</v>
      </c>
      <c r="R494" s="59">
        <v>0</v>
      </c>
      <c r="S494" s="14">
        <v>0</v>
      </c>
      <c r="T494" s="59">
        <v>0</v>
      </c>
      <c r="U494" s="15">
        <f t="shared" si="122"/>
        <v>0</v>
      </c>
      <c r="V494" s="14">
        <v>0</v>
      </c>
      <c r="W494" s="15">
        <f t="shared" si="130"/>
        <v>0</v>
      </c>
      <c r="X494" s="14">
        <v>0</v>
      </c>
      <c r="Y494" s="75">
        <v>0</v>
      </c>
      <c r="Z494" s="87">
        <f t="shared" si="131"/>
        <v>0</v>
      </c>
      <c r="AA494" s="14">
        <f t="shared" si="132"/>
        <v>0</v>
      </c>
      <c r="AB494" s="75">
        <v>0</v>
      </c>
      <c r="AC494" s="75">
        <v>0</v>
      </c>
      <c r="AD494" s="59">
        <f t="shared" si="133"/>
        <v>0</v>
      </c>
      <c r="AE494" s="73">
        <v>0</v>
      </c>
      <c r="AF494" s="73">
        <v>0</v>
      </c>
      <c r="AG494" s="15">
        <f t="shared" si="134"/>
        <v>0</v>
      </c>
      <c r="AH494" s="16">
        <f t="shared" si="135"/>
        <v>0</v>
      </c>
      <c r="AI494" s="17">
        <f t="shared" si="136"/>
        <v>65</v>
      </c>
      <c r="AJ494" s="12">
        <f>VLOOKUP(A494,'PreK Proxy - Sept. 2024'!$A$2:$I$674,9,FALSE)</f>
        <v>94</v>
      </c>
      <c r="AK494" s="18">
        <f t="shared" si="137"/>
        <v>0.69148936170212771</v>
      </c>
    </row>
    <row r="495" spans="1:37" x14ac:dyDescent="0.35">
      <c r="A495" s="11" t="s">
        <v>996</v>
      </c>
      <c r="B495" s="12" t="s">
        <v>997</v>
      </c>
      <c r="C495" s="54" t="s">
        <v>1432</v>
      </c>
      <c r="D495" s="54" t="s">
        <v>68</v>
      </c>
      <c r="E495" s="66">
        <f t="shared" si="123"/>
        <v>10</v>
      </c>
      <c r="F495" s="13">
        <f t="shared" si="124"/>
        <v>10</v>
      </c>
      <c r="G495" s="67">
        <f t="shared" si="125"/>
        <v>0</v>
      </c>
      <c r="H495" s="64">
        <f t="shared" si="121"/>
        <v>10</v>
      </c>
      <c r="I495" s="80">
        <v>0</v>
      </c>
      <c r="J495" s="80">
        <v>0</v>
      </c>
      <c r="K495" s="59">
        <f t="shared" si="126"/>
        <v>0</v>
      </c>
      <c r="L495" s="59">
        <v>0</v>
      </c>
      <c r="M495" s="59">
        <v>10</v>
      </c>
      <c r="N495" s="59">
        <f t="shared" si="127"/>
        <v>10</v>
      </c>
      <c r="O495" s="15">
        <f t="shared" si="128"/>
        <v>0</v>
      </c>
      <c r="P495" s="87">
        <f t="shared" si="129"/>
        <v>0</v>
      </c>
      <c r="Q495" s="110">
        <v>0</v>
      </c>
      <c r="R495" s="59">
        <v>0</v>
      </c>
      <c r="S495" s="14">
        <v>0</v>
      </c>
      <c r="T495" s="59">
        <v>0</v>
      </c>
      <c r="U495" s="15">
        <f t="shared" si="122"/>
        <v>0</v>
      </c>
      <c r="V495" s="14">
        <v>0</v>
      </c>
      <c r="W495" s="15">
        <f t="shared" si="130"/>
        <v>0</v>
      </c>
      <c r="X495" s="14">
        <v>0</v>
      </c>
      <c r="Y495" s="75">
        <v>0</v>
      </c>
      <c r="Z495" s="87">
        <f t="shared" si="131"/>
        <v>0</v>
      </c>
      <c r="AA495" s="14">
        <f t="shared" si="132"/>
        <v>0</v>
      </c>
      <c r="AB495" s="75">
        <v>0</v>
      </c>
      <c r="AC495" s="75">
        <v>0</v>
      </c>
      <c r="AD495" s="59">
        <f t="shared" si="133"/>
        <v>0</v>
      </c>
      <c r="AE495" s="73">
        <v>0</v>
      </c>
      <c r="AF495" s="73">
        <v>0</v>
      </c>
      <c r="AG495" s="15">
        <f t="shared" si="134"/>
        <v>0</v>
      </c>
      <c r="AH495" s="16">
        <f t="shared" si="135"/>
        <v>0</v>
      </c>
      <c r="AI495" s="17">
        <f t="shared" si="136"/>
        <v>10</v>
      </c>
      <c r="AJ495" s="12">
        <f>VLOOKUP(A495,'PreK Proxy - Sept. 2024'!$A$2:$I$674,9,FALSE)</f>
        <v>14</v>
      </c>
      <c r="AK495" s="18">
        <f t="shared" si="137"/>
        <v>0.7142857142857143</v>
      </c>
    </row>
    <row r="496" spans="1:37" x14ac:dyDescent="0.35">
      <c r="A496" s="11" t="s">
        <v>998</v>
      </c>
      <c r="B496" s="12" t="s">
        <v>999</v>
      </c>
      <c r="C496" s="54" t="s">
        <v>1432</v>
      </c>
      <c r="D496" s="54" t="s">
        <v>68</v>
      </c>
      <c r="E496" s="66">
        <f t="shared" si="123"/>
        <v>41</v>
      </c>
      <c r="F496" s="13">
        <f t="shared" si="124"/>
        <v>41</v>
      </c>
      <c r="G496" s="67">
        <f t="shared" si="125"/>
        <v>0</v>
      </c>
      <c r="H496" s="64">
        <f t="shared" si="121"/>
        <v>41</v>
      </c>
      <c r="I496" s="80">
        <v>0</v>
      </c>
      <c r="J496" s="80">
        <v>0</v>
      </c>
      <c r="K496" s="59">
        <f t="shared" si="126"/>
        <v>0</v>
      </c>
      <c r="L496" s="59">
        <v>3</v>
      </c>
      <c r="M496" s="59">
        <v>38</v>
      </c>
      <c r="N496" s="59">
        <f t="shared" si="127"/>
        <v>41</v>
      </c>
      <c r="O496" s="15">
        <f t="shared" si="128"/>
        <v>0</v>
      </c>
      <c r="P496" s="87">
        <f t="shared" si="129"/>
        <v>0</v>
      </c>
      <c r="Q496" s="110">
        <v>0</v>
      </c>
      <c r="R496" s="59">
        <v>0</v>
      </c>
      <c r="S496" s="14">
        <v>0</v>
      </c>
      <c r="T496" s="59">
        <v>0</v>
      </c>
      <c r="U496" s="15">
        <f t="shared" si="122"/>
        <v>0</v>
      </c>
      <c r="V496" s="14">
        <v>0</v>
      </c>
      <c r="W496" s="15">
        <f t="shared" si="130"/>
        <v>0</v>
      </c>
      <c r="X496" s="14">
        <v>0</v>
      </c>
      <c r="Y496" s="75">
        <v>0</v>
      </c>
      <c r="Z496" s="87">
        <f t="shared" si="131"/>
        <v>0</v>
      </c>
      <c r="AA496" s="14">
        <f t="shared" si="132"/>
        <v>0</v>
      </c>
      <c r="AB496" s="75">
        <v>0</v>
      </c>
      <c r="AC496" s="75">
        <v>0</v>
      </c>
      <c r="AD496" s="59">
        <f t="shared" si="133"/>
        <v>0</v>
      </c>
      <c r="AE496" s="73">
        <v>0</v>
      </c>
      <c r="AF496" s="73">
        <v>0</v>
      </c>
      <c r="AG496" s="15">
        <f t="shared" si="134"/>
        <v>0</v>
      </c>
      <c r="AH496" s="16">
        <f t="shared" si="135"/>
        <v>0</v>
      </c>
      <c r="AI496" s="17">
        <f t="shared" si="136"/>
        <v>38</v>
      </c>
      <c r="AJ496" s="12">
        <f>VLOOKUP(A496,'PreK Proxy - Sept. 2024'!$A$2:$I$674,9,FALSE)</f>
        <v>48</v>
      </c>
      <c r="AK496" s="18">
        <f t="shared" si="137"/>
        <v>0.79166666666666663</v>
      </c>
    </row>
    <row r="497" spans="1:37" x14ac:dyDescent="0.35">
      <c r="A497" s="11" t="s">
        <v>1000</v>
      </c>
      <c r="B497" s="12" t="s">
        <v>1001</v>
      </c>
      <c r="C497" s="54" t="s">
        <v>1432</v>
      </c>
      <c r="D497" s="54" t="s">
        <v>68</v>
      </c>
      <c r="E497" s="66">
        <f t="shared" si="123"/>
        <v>64</v>
      </c>
      <c r="F497" s="13">
        <f t="shared" si="124"/>
        <v>64</v>
      </c>
      <c r="G497" s="67">
        <f t="shared" si="125"/>
        <v>0</v>
      </c>
      <c r="H497" s="64">
        <f t="shared" si="121"/>
        <v>64</v>
      </c>
      <c r="I497" s="80">
        <v>0</v>
      </c>
      <c r="J497" s="80">
        <v>0</v>
      </c>
      <c r="K497" s="59">
        <f t="shared" si="126"/>
        <v>0</v>
      </c>
      <c r="L497" s="59">
        <v>0</v>
      </c>
      <c r="M497" s="59">
        <v>64</v>
      </c>
      <c r="N497" s="59">
        <f t="shared" si="127"/>
        <v>64</v>
      </c>
      <c r="O497" s="15">
        <f t="shared" si="128"/>
        <v>0</v>
      </c>
      <c r="P497" s="87">
        <f t="shared" si="129"/>
        <v>0</v>
      </c>
      <c r="Q497" s="110">
        <v>0</v>
      </c>
      <c r="R497" s="59">
        <v>0</v>
      </c>
      <c r="S497" s="14">
        <v>0</v>
      </c>
      <c r="T497" s="59">
        <v>0</v>
      </c>
      <c r="U497" s="15">
        <f t="shared" si="122"/>
        <v>0</v>
      </c>
      <c r="V497" s="14">
        <v>0</v>
      </c>
      <c r="W497" s="15">
        <f t="shared" si="130"/>
        <v>0</v>
      </c>
      <c r="X497" s="14">
        <v>0</v>
      </c>
      <c r="Y497" s="75">
        <v>0</v>
      </c>
      <c r="Z497" s="87">
        <f t="shared" si="131"/>
        <v>0</v>
      </c>
      <c r="AA497" s="14">
        <f t="shared" si="132"/>
        <v>0</v>
      </c>
      <c r="AB497" s="75">
        <v>0</v>
      </c>
      <c r="AC497" s="75">
        <v>0</v>
      </c>
      <c r="AD497" s="59">
        <f t="shared" si="133"/>
        <v>0</v>
      </c>
      <c r="AE497" s="73">
        <v>0</v>
      </c>
      <c r="AF497" s="73">
        <v>0</v>
      </c>
      <c r="AG497" s="15">
        <f t="shared" si="134"/>
        <v>0</v>
      </c>
      <c r="AH497" s="16">
        <f t="shared" si="135"/>
        <v>0</v>
      </c>
      <c r="AI497" s="17">
        <f t="shared" si="136"/>
        <v>64</v>
      </c>
      <c r="AJ497" s="12">
        <f>VLOOKUP(A497,'PreK Proxy - Sept. 2024'!$A$2:$I$674,9,FALSE)</f>
        <v>277</v>
      </c>
      <c r="AK497" s="18">
        <f t="shared" si="137"/>
        <v>0.23104693140794225</v>
      </c>
    </row>
    <row r="498" spans="1:37" x14ac:dyDescent="0.35">
      <c r="A498" s="11" t="s">
        <v>1002</v>
      </c>
      <c r="B498" s="12" t="s">
        <v>1003</v>
      </c>
      <c r="C498" s="54" t="s">
        <v>1432</v>
      </c>
      <c r="D498" s="54" t="s">
        <v>68</v>
      </c>
      <c r="E498" s="66">
        <f t="shared" si="123"/>
        <v>48</v>
      </c>
      <c r="F498" s="13">
        <f t="shared" si="124"/>
        <v>48</v>
      </c>
      <c r="G498" s="67">
        <f t="shared" si="125"/>
        <v>0</v>
      </c>
      <c r="H498" s="64">
        <f t="shared" si="121"/>
        <v>48</v>
      </c>
      <c r="I498" s="80">
        <v>0</v>
      </c>
      <c r="J498" s="80">
        <v>0</v>
      </c>
      <c r="K498" s="59">
        <f t="shared" si="126"/>
        <v>0</v>
      </c>
      <c r="L498" s="59">
        <v>0</v>
      </c>
      <c r="M498" s="59">
        <v>48</v>
      </c>
      <c r="N498" s="59">
        <f t="shared" si="127"/>
        <v>48</v>
      </c>
      <c r="O498" s="15">
        <f t="shared" si="128"/>
        <v>0</v>
      </c>
      <c r="P498" s="87">
        <f t="shared" si="129"/>
        <v>0</v>
      </c>
      <c r="Q498" s="110">
        <v>0</v>
      </c>
      <c r="R498" s="59">
        <v>0</v>
      </c>
      <c r="S498" s="14">
        <v>0</v>
      </c>
      <c r="T498" s="59">
        <v>0</v>
      </c>
      <c r="U498" s="15">
        <f t="shared" si="122"/>
        <v>0</v>
      </c>
      <c r="V498" s="14">
        <v>0</v>
      </c>
      <c r="W498" s="15">
        <f t="shared" si="130"/>
        <v>0</v>
      </c>
      <c r="X498" s="14">
        <v>0</v>
      </c>
      <c r="Y498" s="75">
        <v>0</v>
      </c>
      <c r="Z498" s="87">
        <f t="shared" si="131"/>
        <v>0</v>
      </c>
      <c r="AA498" s="14">
        <f t="shared" si="132"/>
        <v>0</v>
      </c>
      <c r="AB498" s="75">
        <v>0</v>
      </c>
      <c r="AC498" s="75">
        <v>0</v>
      </c>
      <c r="AD498" s="59">
        <f t="shared" si="133"/>
        <v>0</v>
      </c>
      <c r="AE498" s="73">
        <v>0</v>
      </c>
      <c r="AF498" s="73">
        <v>0</v>
      </c>
      <c r="AG498" s="15">
        <f t="shared" si="134"/>
        <v>0</v>
      </c>
      <c r="AH498" s="16">
        <f t="shared" si="135"/>
        <v>0</v>
      </c>
      <c r="AI498" s="17">
        <f t="shared" si="136"/>
        <v>48</v>
      </c>
      <c r="AJ498" s="12">
        <f>VLOOKUP(A498,'PreK Proxy - Sept. 2024'!$A$2:$I$674,9,FALSE)</f>
        <v>51</v>
      </c>
      <c r="AK498" s="18">
        <f t="shared" si="137"/>
        <v>0.94117647058823528</v>
      </c>
    </row>
    <row r="499" spans="1:37" x14ac:dyDescent="0.35">
      <c r="A499" s="11" t="s">
        <v>1004</v>
      </c>
      <c r="B499" s="12" t="s">
        <v>1005</v>
      </c>
      <c r="C499" s="54" t="s">
        <v>1432</v>
      </c>
      <c r="D499" s="54" t="s">
        <v>68</v>
      </c>
      <c r="E499" s="66">
        <f t="shared" si="123"/>
        <v>110</v>
      </c>
      <c r="F499" s="13">
        <f t="shared" si="124"/>
        <v>110</v>
      </c>
      <c r="G499" s="67">
        <f t="shared" si="125"/>
        <v>0</v>
      </c>
      <c r="H499" s="64">
        <f t="shared" si="121"/>
        <v>92</v>
      </c>
      <c r="I499" s="80">
        <v>0</v>
      </c>
      <c r="J499" s="80">
        <v>0</v>
      </c>
      <c r="K499" s="59">
        <f t="shared" si="126"/>
        <v>0</v>
      </c>
      <c r="L499" s="59">
        <v>37</v>
      </c>
      <c r="M499" s="59">
        <v>55</v>
      </c>
      <c r="N499" s="59">
        <f t="shared" si="127"/>
        <v>92</v>
      </c>
      <c r="O499" s="15">
        <f t="shared" si="128"/>
        <v>0</v>
      </c>
      <c r="P499" s="87">
        <f t="shared" si="129"/>
        <v>0</v>
      </c>
      <c r="Q499" s="110">
        <v>0</v>
      </c>
      <c r="R499" s="59">
        <v>0</v>
      </c>
      <c r="S499" s="14">
        <v>0</v>
      </c>
      <c r="T499" s="59">
        <v>0</v>
      </c>
      <c r="U499" s="15">
        <f t="shared" si="122"/>
        <v>0</v>
      </c>
      <c r="V499" s="14">
        <v>0</v>
      </c>
      <c r="W499" s="15">
        <f t="shared" si="130"/>
        <v>0</v>
      </c>
      <c r="X499" s="14">
        <v>18</v>
      </c>
      <c r="Y499" s="75">
        <v>0</v>
      </c>
      <c r="Z499" s="87">
        <f t="shared" si="131"/>
        <v>18</v>
      </c>
      <c r="AA499" s="14">
        <f t="shared" si="132"/>
        <v>0</v>
      </c>
      <c r="AB499" s="75">
        <v>0</v>
      </c>
      <c r="AC499" s="75">
        <v>0</v>
      </c>
      <c r="AD499" s="59">
        <f t="shared" si="133"/>
        <v>0</v>
      </c>
      <c r="AE499" s="73">
        <v>0</v>
      </c>
      <c r="AF499" s="73">
        <v>0</v>
      </c>
      <c r="AG499" s="15">
        <f t="shared" si="134"/>
        <v>0</v>
      </c>
      <c r="AH499" s="16">
        <f t="shared" si="135"/>
        <v>0</v>
      </c>
      <c r="AI499" s="17">
        <f t="shared" si="136"/>
        <v>73</v>
      </c>
      <c r="AJ499" s="12">
        <f>VLOOKUP(A499,'PreK Proxy - Sept. 2024'!$A$2:$I$674,9,FALSE)</f>
        <v>75</v>
      </c>
      <c r="AK499" s="18">
        <f t="shared" si="137"/>
        <v>0.97333333333333338</v>
      </c>
    </row>
    <row r="500" spans="1:37" x14ac:dyDescent="0.35">
      <c r="A500" s="11" t="s">
        <v>1006</v>
      </c>
      <c r="B500" s="12" t="s">
        <v>1007</v>
      </c>
      <c r="C500" s="54" t="s">
        <v>1432</v>
      </c>
      <c r="D500" s="54" t="s">
        <v>68</v>
      </c>
      <c r="E500" s="66">
        <f t="shared" si="123"/>
        <v>17</v>
      </c>
      <c r="F500" s="13">
        <f t="shared" si="124"/>
        <v>17</v>
      </c>
      <c r="G500" s="67">
        <f t="shared" si="125"/>
        <v>0</v>
      </c>
      <c r="H500" s="64">
        <f t="shared" si="121"/>
        <v>17</v>
      </c>
      <c r="I500" s="80">
        <v>0</v>
      </c>
      <c r="J500" s="80">
        <v>0</v>
      </c>
      <c r="K500" s="59">
        <f t="shared" si="126"/>
        <v>0</v>
      </c>
      <c r="L500" s="59">
        <v>0</v>
      </c>
      <c r="M500" s="59">
        <v>17</v>
      </c>
      <c r="N500" s="59">
        <f t="shared" si="127"/>
        <v>17</v>
      </c>
      <c r="O500" s="15">
        <f t="shared" si="128"/>
        <v>0</v>
      </c>
      <c r="P500" s="87">
        <f t="shared" si="129"/>
        <v>0</v>
      </c>
      <c r="Q500" s="110">
        <v>0</v>
      </c>
      <c r="R500" s="59">
        <v>0</v>
      </c>
      <c r="S500" s="14">
        <v>0</v>
      </c>
      <c r="T500" s="59">
        <v>0</v>
      </c>
      <c r="U500" s="15">
        <f t="shared" si="122"/>
        <v>0</v>
      </c>
      <c r="V500" s="14">
        <v>0</v>
      </c>
      <c r="W500" s="15">
        <f t="shared" si="130"/>
        <v>0</v>
      </c>
      <c r="X500" s="14">
        <v>0</v>
      </c>
      <c r="Y500" s="75">
        <v>0</v>
      </c>
      <c r="Z500" s="87">
        <f t="shared" si="131"/>
        <v>0</v>
      </c>
      <c r="AA500" s="14">
        <f t="shared" si="132"/>
        <v>0</v>
      </c>
      <c r="AB500" s="75">
        <v>0</v>
      </c>
      <c r="AC500" s="75">
        <v>0</v>
      </c>
      <c r="AD500" s="59">
        <f t="shared" si="133"/>
        <v>0</v>
      </c>
      <c r="AE500" s="73">
        <v>0</v>
      </c>
      <c r="AF500" s="73">
        <v>0</v>
      </c>
      <c r="AG500" s="15">
        <f t="shared" si="134"/>
        <v>0</v>
      </c>
      <c r="AH500" s="16">
        <f t="shared" si="135"/>
        <v>0</v>
      </c>
      <c r="AI500" s="17">
        <f t="shared" si="136"/>
        <v>17</v>
      </c>
      <c r="AJ500" s="12">
        <f>VLOOKUP(A500,'PreK Proxy - Sept. 2024'!$A$2:$I$674,9,FALSE)</f>
        <v>20</v>
      </c>
      <c r="AK500" s="18">
        <f t="shared" si="137"/>
        <v>0.85</v>
      </c>
    </row>
    <row r="501" spans="1:37" x14ac:dyDescent="0.35">
      <c r="A501" s="11" t="s">
        <v>1008</v>
      </c>
      <c r="B501" s="12" t="s">
        <v>1009</v>
      </c>
      <c r="C501" s="54" t="s">
        <v>1432</v>
      </c>
      <c r="D501" s="54" t="s">
        <v>68</v>
      </c>
      <c r="E501" s="66">
        <f t="shared" si="123"/>
        <v>30</v>
      </c>
      <c r="F501" s="13">
        <f t="shared" si="124"/>
        <v>30</v>
      </c>
      <c r="G501" s="67">
        <f t="shared" si="125"/>
        <v>0</v>
      </c>
      <c r="H501" s="64">
        <f t="shared" si="121"/>
        <v>30</v>
      </c>
      <c r="I501" s="80">
        <v>0</v>
      </c>
      <c r="J501" s="80">
        <v>0</v>
      </c>
      <c r="K501" s="59">
        <f t="shared" si="126"/>
        <v>0</v>
      </c>
      <c r="L501" s="59">
        <v>0</v>
      </c>
      <c r="M501" s="59">
        <v>30</v>
      </c>
      <c r="N501" s="59">
        <f t="shared" si="127"/>
        <v>30</v>
      </c>
      <c r="O501" s="15">
        <f t="shared" si="128"/>
        <v>0</v>
      </c>
      <c r="P501" s="87">
        <f t="shared" si="129"/>
        <v>0</v>
      </c>
      <c r="Q501" s="110">
        <v>0</v>
      </c>
      <c r="R501" s="59">
        <v>0</v>
      </c>
      <c r="S501" s="14">
        <v>0</v>
      </c>
      <c r="T501" s="59">
        <v>0</v>
      </c>
      <c r="U501" s="15">
        <f t="shared" si="122"/>
        <v>0</v>
      </c>
      <c r="V501" s="14">
        <v>0</v>
      </c>
      <c r="W501" s="15">
        <f t="shared" si="130"/>
        <v>0</v>
      </c>
      <c r="X501" s="14">
        <v>0</v>
      </c>
      <c r="Y501" s="75">
        <v>0</v>
      </c>
      <c r="Z501" s="87">
        <f t="shared" si="131"/>
        <v>0</v>
      </c>
      <c r="AA501" s="14">
        <f t="shared" si="132"/>
        <v>0</v>
      </c>
      <c r="AB501" s="75">
        <v>0</v>
      </c>
      <c r="AC501" s="75">
        <v>0</v>
      </c>
      <c r="AD501" s="59">
        <f t="shared" si="133"/>
        <v>0</v>
      </c>
      <c r="AE501" s="73">
        <v>0</v>
      </c>
      <c r="AF501" s="73">
        <v>0</v>
      </c>
      <c r="AG501" s="15">
        <f t="shared" si="134"/>
        <v>0</v>
      </c>
      <c r="AH501" s="16">
        <f t="shared" si="135"/>
        <v>0</v>
      </c>
      <c r="AI501" s="17">
        <f t="shared" si="136"/>
        <v>30</v>
      </c>
      <c r="AJ501" s="12">
        <f>VLOOKUP(A501,'PreK Proxy - Sept. 2024'!$A$2:$I$674,9,FALSE)</f>
        <v>32</v>
      </c>
      <c r="AK501" s="18">
        <f t="shared" si="137"/>
        <v>0.9375</v>
      </c>
    </row>
    <row r="502" spans="1:37" x14ac:dyDescent="0.35">
      <c r="A502" s="11" t="s">
        <v>1010</v>
      </c>
      <c r="B502" s="12" t="s">
        <v>1011</v>
      </c>
      <c r="C502" s="54" t="s">
        <v>1432</v>
      </c>
      <c r="D502" s="54" t="s">
        <v>68</v>
      </c>
      <c r="E502" s="66">
        <f t="shared" si="123"/>
        <v>20</v>
      </c>
      <c r="F502" s="13">
        <f t="shared" si="124"/>
        <v>20</v>
      </c>
      <c r="G502" s="67">
        <f t="shared" si="125"/>
        <v>0</v>
      </c>
      <c r="H502" s="64">
        <f t="shared" si="121"/>
        <v>20</v>
      </c>
      <c r="I502" s="80">
        <v>0</v>
      </c>
      <c r="J502" s="80">
        <v>0</v>
      </c>
      <c r="K502" s="59">
        <f t="shared" si="126"/>
        <v>0</v>
      </c>
      <c r="L502" s="59">
        <v>0</v>
      </c>
      <c r="M502" s="59">
        <v>20</v>
      </c>
      <c r="N502" s="59">
        <f t="shared" si="127"/>
        <v>20</v>
      </c>
      <c r="O502" s="15">
        <f t="shared" si="128"/>
        <v>0</v>
      </c>
      <c r="P502" s="87">
        <f t="shared" si="129"/>
        <v>0</v>
      </c>
      <c r="Q502" s="110">
        <v>0</v>
      </c>
      <c r="R502" s="59">
        <v>0</v>
      </c>
      <c r="S502" s="14">
        <v>0</v>
      </c>
      <c r="T502" s="59">
        <v>0</v>
      </c>
      <c r="U502" s="15">
        <f t="shared" si="122"/>
        <v>0</v>
      </c>
      <c r="V502" s="14">
        <v>0</v>
      </c>
      <c r="W502" s="15">
        <f t="shared" si="130"/>
        <v>0</v>
      </c>
      <c r="X502" s="14">
        <v>0</v>
      </c>
      <c r="Y502" s="75">
        <v>0</v>
      </c>
      <c r="Z502" s="87">
        <f t="shared" si="131"/>
        <v>0</v>
      </c>
      <c r="AA502" s="14">
        <f t="shared" si="132"/>
        <v>0</v>
      </c>
      <c r="AB502" s="75">
        <v>0</v>
      </c>
      <c r="AC502" s="75">
        <v>0</v>
      </c>
      <c r="AD502" s="59">
        <f t="shared" si="133"/>
        <v>0</v>
      </c>
      <c r="AE502" s="73">
        <v>0</v>
      </c>
      <c r="AF502" s="73">
        <v>0</v>
      </c>
      <c r="AG502" s="15">
        <f t="shared" si="134"/>
        <v>0</v>
      </c>
      <c r="AH502" s="16">
        <f t="shared" si="135"/>
        <v>0</v>
      </c>
      <c r="AI502" s="17">
        <f t="shared" si="136"/>
        <v>20</v>
      </c>
      <c r="AJ502" s="12">
        <f>VLOOKUP(A502,'PreK Proxy - Sept. 2024'!$A$2:$I$674,9,FALSE)</f>
        <v>20</v>
      </c>
      <c r="AK502" s="18">
        <f t="shared" si="137"/>
        <v>1</v>
      </c>
    </row>
    <row r="503" spans="1:37" x14ac:dyDescent="0.35">
      <c r="A503" s="11" t="s">
        <v>1012</v>
      </c>
      <c r="B503" s="12" t="s">
        <v>1013</v>
      </c>
      <c r="C503" s="54" t="s">
        <v>1432</v>
      </c>
      <c r="D503" s="54" t="s">
        <v>68</v>
      </c>
      <c r="E503" s="66">
        <f t="shared" si="123"/>
        <v>18</v>
      </c>
      <c r="F503" s="13">
        <f t="shared" si="124"/>
        <v>18</v>
      </c>
      <c r="G503" s="67">
        <f t="shared" si="125"/>
        <v>0</v>
      </c>
      <c r="H503" s="64">
        <f t="shared" si="121"/>
        <v>18</v>
      </c>
      <c r="I503" s="80">
        <v>0</v>
      </c>
      <c r="J503" s="80">
        <v>0</v>
      </c>
      <c r="K503" s="59">
        <f t="shared" si="126"/>
        <v>0</v>
      </c>
      <c r="L503" s="59">
        <v>0</v>
      </c>
      <c r="M503" s="59">
        <v>18</v>
      </c>
      <c r="N503" s="59">
        <f t="shared" si="127"/>
        <v>18</v>
      </c>
      <c r="O503" s="15">
        <f t="shared" si="128"/>
        <v>0</v>
      </c>
      <c r="P503" s="87">
        <f t="shared" si="129"/>
        <v>0</v>
      </c>
      <c r="Q503" s="110">
        <v>0</v>
      </c>
      <c r="R503" s="59">
        <v>0</v>
      </c>
      <c r="S503" s="14">
        <v>0</v>
      </c>
      <c r="T503" s="59">
        <v>0</v>
      </c>
      <c r="U503" s="15">
        <f t="shared" si="122"/>
        <v>0</v>
      </c>
      <c r="V503" s="14">
        <v>0</v>
      </c>
      <c r="W503" s="15">
        <f t="shared" si="130"/>
        <v>0</v>
      </c>
      <c r="X503" s="14">
        <v>0</v>
      </c>
      <c r="Y503" s="75">
        <v>0</v>
      </c>
      <c r="Z503" s="87">
        <f t="shared" si="131"/>
        <v>0</v>
      </c>
      <c r="AA503" s="14">
        <f t="shared" si="132"/>
        <v>0</v>
      </c>
      <c r="AB503" s="75">
        <v>0</v>
      </c>
      <c r="AC503" s="75">
        <v>0</v>
      </c>
      <c r="AD503" s="59">
        <f t="shared" si="133"/>
        <v>0</v>
      </c>
      <c r="AE503" s="73">
        <v>0</v>
      </c>
      <c r="AF503" s="73">
        <v>0</v>
      </c>
      <c r="AG503" s="15">
        <f t="shared" si="134"/>
        <v>0</v>
      </c>
      <c r="AH503" s="16">
        <f t="shared" si="135"/>
        <v>0</v>
      </c>
      <c r="AI503" s="17">
        <f t="shared" si="136"/>
        <v>18</v>
      </c>
      <c r="AJ503" s="12">
        <f>VLOOKUP(A503,'PreK Proxy - Sept. 2024'!$A$2:$I$674,9,FALSE)</f>
        <v>17</v>
      </c>
      <c r="AK503" s="18">
        <f t="shared" si="137"/>
        <v>1</v>
      </c>
    </row>
    <row r="504" spans="1:37" x14ac:dyDescent="0.35">
      <c r="A504" s="11" t="s">
        <v>1014</v>
      </c>
      <c r="B504" s="12" t="s">
        <v>1015</v>
      </c>
      <c r="C504" s="54" t="s">
        <v>1432</v>
      </c>
      <c r="D504" s="54" t="s">
        <v>68</v>
      </c>
      <c r="E504" s="66">
        <f t="shared" si="123"/>
        <v>99</v>
      </c>
      <c r="F504" s="13">
        <f t="shared" si="124"/>
        <v>91</v>
      </c>
      <c r="G504" s="67">
        <f t="shared" si="125"/>
        <v>8</v>
      </c>
      <c r="H504" s="64">
        <f t="shared" si="121"/>
        <v>83</v>
      </c>
      <c r="I504" s="80">
        <v>0</v>
      </c>
      <c r="J504" s="80">
        <v>8</v>
      </c>
      <c r="K504" s="59">
        <f t="shared" si="126"/>
        <v>8</v>
      </c>
      <c r="L504" s="59">
        <v>29</v>
      </c>
      <c r="M504" s="59">
        <v>46</v>
      </c>
      <c r="N504" s="59">
        <f t="shared" si="127"/>
        <v>75</v>
      </c>
      <c r="O504" s="15">
        <f t="shared" si="128"/>
        <v>0</v>
      </c>
      <c r="P504" s="87">
        <f t="shared" si="129"/>
        <v>0</v>
      </c>
      <c r="Q504" s="110">
        <v>0</v>
      </c>
      <c r="R504" s="59">
        <v>0</v>
      </c>
      <c r="S504" s="14">
        <v>0</v>
      </c>
      <c r="T504" s="59">
        <v>0</v>
      </c>
      <c r="U504" s="15">
        <f t="shared" si="122"/>
        <v>0</v>
      </c>
      <c r="V504" s="14">
        <v>16</v>
      </c>
      <c r="W504" s="15">
        <f t="shared" si="130"/>
        <v>16</v>
      </c>
      <c r="X504" s="14">
        <v>0</v>
      </c>
      <c r="Y504" s="75">
        <v>0</v>
      </c>
      <c r="Z504" s="87">
        <f t="shared" si="131"/>
        <v>0</v>
      </c>
      <c r="AA504" s="14">
        <f t="shared" si="132"/>
        <v>0</v>
      </c>
      <c r="AB504" s="75">
        <v>0</v>
      </c>
      <c r="AC504" s="75">
        <v>0</v>
      </c>
      <c r="AD504" s="59">
        <f t="shared" si="133"/>
        <v>0</v>
      </c>
      <c r="AE504" s="73">
        <v>0</v>
      </c>
      <c r="AF504" s="73">
        <v>0</v>
      </c>
      <c r="AG504" s="15">
        <f t="shared" si="134"/>
        <v>0</v>
      </c>
      <c r="AH504" s="16">
        <f t="shared" si="135"/>
        <v>8</v>
      </c>
      <c r="AI504" s="17">
        <f t="shared" si="136"/>
        <v>62</v>
      </c>
      <c r="AJ504" s="12">
        <f>VLOOKUP(A504,'PreK Proxy - Sept. 2024'!$A$2:$I$674,9,FALSE)</f>
        <v>62</v>
      </c>
      <c r="AK504" s="18">
        <f t="shared" si="137"/>
        <v>1</v>
      </c>
    </row>
    <row r="505" spans="1:37" x14ac:dyDescent="0.35">
      <c r="A505" s="11" t="s">
        <v>1016</v>
      </c>
      <c r="B505" s="12" t="s">
        <v>1017</v>
      </c>
      <c r="C505" s="54" t="s">
        <v>1416</v>
      </c>
      <c r="D505" s="54" t="s">
        <v>545</v>
      </c>
      <c r="E505" s="66">
        <f t="shared" si="123"/>
        <v>73</v>
      </c>
      <c r="F505" s="13">
        <f t="shared" si="124"/>
        <v>73</v>
      </c>
      <c r="G505" s="67">
        <f t="shared" si="125"/>
        <v>0</v>
      </c>
      <c r="H505" s="64">
        <f t="shared" si="121"/>
        <v>44</v>
      </c>
      <c r="I505" s="80">
        <v>0</v>
      </c>
      <c r="J505" s="80">
        <v>0</v>
      </c>
      <c r="K505" s="59">
        <f t="shared" si="126"/>
        <v>0</v>
      </c>
      <c r="L505" s="59">
        <v>0</v>
      </c>
      <c r="M505" s="59">
        <v>44</v>
      </c>
      <c r="N505" s="59">
        <f t="shared" si="127"/>
        <v>44</v>
      </c>
      <c r="O505" s="15">
        <f t="shared" si="128"/>
        <v>0</v>
      </c>
      <c r="P505" s="87">
        <f t="shared" si="129"/>
        <v>29</v>
      </c>
      <c r="Q505" s="110">
        <v>0</v>
      </c>
      <c r="R505" s="59">
        <v>29</v>
      </c>
      <c r="S505" s="14">
        <v>0</v>
      </c>
      <c r="T505" s="59">
        <v>0</v>
      </c>
      <c r="U505" s="15">
        <f t="shared" si="122"/>
        <v>0</v>
      </c>
      <c r="V505" s="14">
        <v>0</v>
      </c>
      <c r="W505" s="15">
        <f t="shared" si="130"/>
        <v>0</v>
      </c>
      <c r="X505" s="14">
        <v>0</v>
      </c>
      <c r="Y505" s="75">
        <v>0</v>
      </c>
      <c r="Z505" s="87">
        <f t="shared" si="131"/>
        <v>0</v>
      </c>
      <c r="AA505" s="14">
        <f t="shared" si="132"/>
        <v>0</v>
      </c>
      <c r="AB505" s="75">
        <v>0</v>
      </c>
      <c r="AC505" s="75">
        <v>0</v>
      </c>
      <c r="AD505" s="59">
        <f t="shared" si="133"/>
        <v>0</v>
      </c>
      <c r="AE505" s="73">
        <v>0</v>
      </c>
      <c r="AF505" s="73">
        <v>0</v>
      </c>
      <c r="AG505" s="15">
        <f t="shared" si="134"/>
        <v>0</v>
      </c>
      <c r="AH505" s="16">
        <f t="shared" si="135"/>
        <v>0</v>
      </c>
      <c r="AI505" s="17">
        <f t="shared" si="136"/>
        <v>73</v>
      </c>
      <c r="AJ505" s="12">
        <f>VLOOKUP(A505,'PreK Proxy - Sept. 2024'!$A$2:$I$674,9,FALSE)</f>
        <v>110</v>
      </c>
      <c r="AK505" s="18">
        <f t="shared" si="137"/>
        <v>0.66363636363636369</v>
      </c>
    </row>
    <row r="506" spans="1:37" x14ac:dyDescent="0.35">
      <c r="A506" s="11" t="s">
        <v>1018</v>
      </c>
      <c r="B506" s="12" t="s">
        <v>1019</v>
      </c>
      <c r="C506" s="54" t="s">
        <v>1416</v>
      </c>
      <c r="D506" s="54" t="s">
        <v>545</v>
      </c>
      <c r="E506" s="66">
        <f t="shared" si="123"/>
        <v>143</v>
      </c>
      <c r="F506" s="13">
        <f t="shared" si="124"/>
        <v>143</v>
      </c>
      <c r="G506" s="67">
        <f t="shared" si="125"/>
        <v>0</v>
      </c>
      <c r="H506" s="64">
        <f t="shared" si="121"/>
        <v>65</v>
      </c>
      <c r="I506" s="80">
        <v>0</v>
      </c>
      <c r="J506" s="80">
        <v>0</v>
      </c>
      <c r="K506" s="59">
        <f t="shared" si="126"/>
        <v>0</v>
      </c>
      <c r="L506" s="59">
        <v>0</v>
      </c>
      <c r="M506" s="59">
        <v>65</v>
      </c>
      <c r="N506" s="59">
        <f t="shared" si="127"/>
        <v>65</v>
      </c>
      <c r="O506" s="15">
        <f t="shared" si="128"/>
        <v>0</v>
      </c>
      <c r="P506" s="87">
        <f t="shared" si="129"/>
        <v>78</v>
      </c>
      <c r="Q506" s="110">
        <v>0</v>
      </c>
      <c r="R506" s="59">
        <v>78</v>
      </c>
      <c r="S506" s="14">
        <v>0</v>
      </c>
      <c r="T506" s="59">
        <v>0</v>
      </c>
      <c r="U506" s="15">
        <f t="shared" si="122"/>
        <v>0</v>
      </c>
      <c r="V506" s="14">
        <v>0</v>
      </c>
      <c r="W506" s="15">
        <f t="shared" si="130"/>
        <v>0</v>
      </c>
      <c r="X506" s="14">
        <v>0</v>
      </c>
      <c r="Y506" s="75">
        <v>0</v>
      </c>
      <c r="Z506" s="87">
        <f t="shared" si="131"/>
        <v>0</v>
      </c>
      <c r="AA506" s="14">
        <f t="shared" si="132"/>
        <v>0</v>
      </c>
      <c r="AB506" s="75">
        <v>0</v>
      </c>
      <c r="AC506" s="75">
        <v>0</v>
      </c>
      <c r="AD506" s="59">
        <f t="shared" si="133"/>
        <v>0</v>
      </c>
      <c r="AE506" s="73">
        <v>0</v>
      </c>
      <c r="AF506" s="73">
        <v>0</v>
      </c>
      <c r="AG506" s="15">
        <f t="shared" si="134"/>
        <v>0</v>
      </c>
      <c r="AH506" s="16">
        <f t="shared" si="135"/>
        <v>0</v>
      </c>
      <c r="AI506" s="17">
        <f t="shared" si="136"/>
        <v>143</v>
      </c>
      <c r="AJ506" s="12">
        <f>VLOOKUP(A506,'PreK Proxy - Sept. 2024'!$A$2:$I$674,9,FALSE)</f>
        <v>190</v>
      </c>
      <c r="AK506" s="18">
        <f t="shared" si="137"/>
        <v>0.75263157894736843</v>
      </c>
    </row>
    <row r="507" spans="1:37" x14ac:dyDescent="0.35">
      <c r="A507" s="11" t="s">
        <v>1020</v>
      </c>
      <c r="B507" s="12" t="s">
        <v>1398</v>
      </c>
      <c r="C507" s="54" t="s">
        <v>1416</v>
      </c>
      <c r="D507" s="54" t="s">
        <v>545</v>
      </c>
      <c r="E507" s="66">
        <f t="shared" si="123"/>
        <v>156</v>
      </c>
      <c r="F507" s="13">
        <f t="shared" si="124"/>
        <v>156</v>
      </c>
      <c r="G507" s="67">
        <f t="shared" si="125"/>
        <v>0</v>
      </c>
      <c r="H507" s="64">
        <f t="shared" si="121"/>
        <v>61</v>
      </c>
      <c r="I507" s="80">
        <v>0</v>
      </c>
      <c r="J507" s="80">
        <v>0</v>
      </c>
      <c r="K507" s="59">
        <f t="shared" si="126"/>
        <v>0</v>
      </c>
      <c r="L507" s="59">
        <v>0</v>
      </c>
      <c r="M507" s="59">
        <v>61</v>
      </c>
      <c r="N507" s="59">
        <f t="shared" si="127"/>
        <v>61</v>
      </c>
      <c r="O507" s="15">
        <f t="shared" si="128"/>
        <v>0</v>
      </c>
      <c r="P507" s="87">
        <f t="shared" si="129"/>
        <v>95</v>
      </c>
      <c r="Q507" s="110">
        <v>0</v>
      </c>
      <c r="R507" s="59">
        <v>95</v>
      </c>
      <c r="S507" s="14">
        <v>0</v>
      </c>
      <c r="T507" s="59">
        <v>0</v>
      </c>
      <c r="U507" s="15">
        <f t="shared" si="122"/>
        <v>0</v>
      </c>
      <c r="V507" s="14">
        <v>0</v>
      </c>
      <c r="W507" s="15">
        <f t="shared" si="130"/>
        <v>0</v>
      </c>
      <c r="X507" s="14">
        <v>0</v>
      </c>
      <c r="Y507" s="75">
        <v>0</v>
      </c>
      <c r="Z507" s="87">
        <f t="shared" si="131"/>
        <v>0</v>
      </c>
      <c r="AA507" s="14">
        <f t="shared" si="132"/>
        <v>0</v>
      </c>
      <c r="AB507" s="75">
        <v>0</v>
      </c>
      <c r="AC507" s="75">
        <v>0</v>
      </c>
      <c r="AD507" s="59">
        <f t="shared" si="133"/>
        <v>0</v>
      </c>
      <c r="AE507" s="73">
        <v>0</v>
      </c>
      <c r="AF507" s="73">
        <v>0</v>
      </c>
      <c r="AG507" s="15">
        <f t="shared" si="134"/>
        <v>0</v>
      </c>
      <c r="AH507" s="16">
        <f t="shared" si="135"/>
        <v>0</v>
      </c>
      <c r="AI507" s="17">
        <f t="shared" si="136"/>
        <v>156</v>
      </c>
      <c r="AJ507" s="12">
        <f>VLOOKUP(A507,'PreK Proxy - Sept. 2024'!$A$2:$I$674,9,FALSE)</f>
        <v>247</v>
      </c>
      <c r="AK507" s="18">
        <f t="shared" si="137"/>
        <v>0.63157894736842102</v>
      </c>
    </row>
    <row r="508" spans="1:37" x14ac:dyDescent="0.35">
      <c r="A508" s="11" t="s">
        <v>1021</v>
      </c>
      <c r="B508" s="12" t="s">
        <v>1022</v>
      </c>
      <c r="C508" s="54" t="s">
        <v>1416</v>
      </c>
      <c r="D508" s="54" t="s">
        <v>545</v>
      </c>
      <c r="E508" s="66">
        <f t="shared" si="123"/>
        <v>214</v>
      </c>
      <c r="F508" s="13">
        <f t="shared" si="124"/>
        <v>214</v>
      </c>
      <c r="G508" s="67">
        <f t="shared" si="125"/>
        <v>0</v>
      </c>
      <c r="H508" s="64">
        <f t="shared" si="121"/>
        <v>96</v>
      </c>
      <c r="I508" s="80">
        <v>0</v>
      </c>
      <c r="J508" s="80">
        <v>0</v>
      </c>
      <c r="K508" s="59">
        <f t="shared" si="126"/>
        <v>0</v>
      </c>
      <c r="L508" s="59">
        <v>0</v>
      </c>
      <c r="M508" s="59">
        <v>96</v>
      </c>
      <c r="N508" s="59">
        <f t="shared" si="127"/>
        <v>96</v>
      </c>
      <c r="O508" s="15">
        <f t="shared" si="128"/>
        <v>0</v>
      </c>
      <c r="P508" s="87">
        <f t="shared" si="129"/>
        <v>118</v>
      </c>
      <c r="Q508" s="110">
        <v>0</v>
      </c>
      <c r="R508" s="59">
        <v>118</v>
      </c>
      <c r="S508" s="14">
        <v>0</v>
      </c>
      <c r="T508" s="59">
        <v>0</v>
      </c>
      <c r="U508" s="15">
        <f t="shared" si="122"/>
        <v>0</v>
      </c>
      <c r="V508" s="14">
        <v>0</v>
      </c>
      <c r="W508" s="15">
        <f t="shared" si="130"/>
        <v>0</v>
      </c>
      <c r="X508" s="14">
        <v>0</v>
      </c>
      <c r="Y508" s="75">
        <v>0</v>
      </c>
      <c r="Z508" s="87">
        <f t="shared" si="131"/>
        <v>0</v>
      </c>
      <c r="AA508" s="14">
        <f t="shared" si="132"/>
        <v>0</v>
      </c>
      <c r="AB508" s="75">
        <v>0</v>
      </c>
      <c r="AC508" s="75">
        <v>0</v>
      </c>
      <c r="AD508" s="59">
        <f t="shared" si="133"/>
        <v>0</v>
      </c>
      <c r="AE508" s="73">
        <v>0</v>
      </c>
      <c r="AF508" s="73">
        <v>0</v>
      </c>
      <c r="AG508" s="15">
        <f t="shared" si="134"/>
        <v>0</v>
      </c>
      <c r="AH508" s="16">
        <f t="shared" si="135"/>
        <v>0</v>
      </c>
      <c r="AI508" s="17">
        <f t="shared" si="136"/>
        <v>214</v>
      </c>
      <c r="AJ508" s="12">
        <f>VLOOKUP(A508,'PreK Proxy - Sept. 2024'!$A$2:$I$674,9,FALSE)</f>
        <v>330</v>
      </c>
      <c r="AK508" s="18">
        <f t="shared" si="137"/>
        <v>0.64848484848484844</v>
      </c>
    </row>
    <row r="509" spans="1:37" x14ac:dyDescent="0.35">
      <c r="A509" s="11" t="s">
        <v>1023</v>
      </c>
      <c r="B509" s="12" t="s">
        <v>1024</v>
      </c>
      <c r="C509" s="54" t="s">
        <v>1416</v>
      </c>
      <c r="D509" s="54" t="s">
        <v>545</v>
      </c>
      <c r="E509" s="66">
        <f t="shared" si="123"/>
        <v>163</v>
      </c>
      <c r="F509" s="13">
        <f t="shared" si="124"/>
        <v>163</v>
      </c>
      <c r="G509" s="67">
        <f t="shared" si="125"/>
        <v>0</v>
      </c>
      <c r="H509" s="64">
        <f t="shared" si="121"/>
        <v>163</v>
      </c>
      <c r="I509" s="80">
        <v>0</v>
      </c>
      <c r="J509" s="80">
        <v>0</v>
      </c>
      <c r="K509" s="59">
        <f t="shared" si="126"/>
        <v>0</v>
      </c>
      <c r="L509" s="59">
        <v>0</v>
      </c>
      <c r="M509" s="59">
        <v>163</v>
      </c>
      <c r="N509" s="59">
        <f t="shared" si="127"/>
        <v>163</v>
      </c>
      <c r="O509" s="15">
        <f t="shared" si="128"/>
        <v>0</v>
      </c>
      <c r="P509" s="87">
        <f t="shared" si="129"/>
        <v>0</v>
      </c>
      <c r="Q509" s="110">
        <v>0</v>
      </c>
      <c r="R509" s="59">
        <v>0</v>
      </c>
      <c r="S509" s="14">
        <v>0</v>
      </c>
      <c r="T509" s="59">
        <v>0</v>
      </c>
      <c r="U509" s="15">
        <f t="shared" si="122"/>
        <v>0</v>
      </c>
      <c r="V509" s="14">
        <v>0</v>
      </c>
      <c r="W509" s="15">
        <f t="shared" si="130"/>
        <v>0</v>
      </c>
      <c r="X509" s="14">
        <v>0</v>
      </c>
      <c r="Y509" s="75">
        <v>0</v>
      </c>
      <c r="Z509" s="87">
        <f t="shared" si="131"/>
        <v>0</v>
      </c>
      <c r="AA509" s="14">
        <f t="shared" si="132"/>
        <v>0</v>
      </c>
      <c r="AB509" s="75">
        <v>0</v>
      </c>
      <c r="AC509" s="75">
        <v>0</v>
      </c>
      <c r="AD509" s="59">
        <f t="shared" si="133"/>
        <v>0</v>
      </c>
      <c r="AE509" s="73">
        <v>0</v>
      </c>
      <c r="AF509" s="73">
        <v>0</v>
      </c>
      <c r="AG509" s="15">
        <f t="shared" si="134"/>
        <v>0</v>
      </c>
      <c r="AH509" s="16">
        <f t="shared" si="135"/>
        <v>0</v>
      </c>
      <c r="AI509" s="17">
        <f t="shared" si="136"/>
        <v>163</v>
      </c>
      <c r="AJ509" s="12">
        <f>VLOOKUP(A509,'PreK Proxy - Sept. 2024'!$A$2:$I$674,9,FALSE)</f>
        <v>230</v>
      </c>
      <c r="AK509" s="18">
        <f t="shared" si="137"/>
        <v>0.70869565217391306</v>
      </c>
    </row>
    <row r="510" spans="1:37" x14ac:dyDescent="0.35">
      <c r="A510" s="11" t="s">
        <v>1025</v>
      </c>
      <c r="B510" s="12" t="s">
        <v>1026</v>
      </c>
      <c r="C510" s="54" t="s">
        <v>1416</v>
      </c>
      <c r="D510" s="54" t="s">
        <v>545</v>
      </c>
      <c r="E510" s="66">
        <f t="shared" si="123"/>
        <v>118</v>
      </c>
      <c r="F510" s="13">
        <f t="shared" si="124"/>
        <v>118</v>
      </c>
      <c r="G510" s="67">
        <f t="shared" si="125"/>
        <v>0</v>
      </c>
      <c r="H510" s="64">
        <f t="shared" si="121"/>
        <v>118</v>
      </c>
      <c r="I510" s="80">
        <v>0</v>
      </c>
      <c r="J510" s="80">
        <v>0</v>
      </c>
      <c r="K510" s="59">
        <f t="shared" si="126"/>
        <v>0</v>
      </c>
      <c r="L510" s="59">
        <v>0</v>
      </c>
      <c r="M510" s="59">
        <v>118</v>
      </c>
      <c r="N510" s="59">
        <f t="shared" si="127"/>
        <v>118</v>
      </c>
      <c r="O510" s="15">
        <f t="shared" si="128"/>
        <v>0</v>
      </c>
      <c r="P510" s="87">
        <f t="shared" si="129"/>
        <v>0</v>
      </c>
      <c r="Q510" s="110">
        <v>0</v>
      </c>
      <c r="R510" s="59">
        <v>0</v>
      </c>
      <c r="S510" s="14">
        <v>0</v>
      </c>
      <c r="T510" s="59">
        <v>0</v>
      </c>
      <c r="U510" s="15">
        <f t="shared" si="122"/>
        <v>0</v>
      </c>
      <c r="V510" s="14">
        <v>0</v>
      </c>
      <c r="W510" s="15">
        <f t="shared" si="130"/>
        <v>0</v>
      </c>
      <c r="X510" s="14">
        <v>0</v>
      </c>
      <c r="Y510" s="75">
        <v>0</v>
      </c>
      <c r="Z510" s="87">
        <f t="shared" si="131"/>
        <v>0</v>
      </c>
      <c r="AA510" s="14">
        <f t="shared" si="132"/>
        <v>0</v>
      </c>
      <c r="AB510" s="75">
        <v>0</v>
      </c>
      <c r="AC510" s="75">
        <v>0</v>
      </c>
      <c r="AD510" s="59">
        <f t="shared" si="133"/>
        <v>0</v>
      </c>
      <c r="AE510" s="73">
        <v>0</v>
      </c>
      <c r="AF510" s="73">
        <v>0</v>
      </c>
      <c r="AG510" s="15">
        <f t="shared" si="134"/>
        <v>0</v>
      </c>
      <c r="AH510" s="16">
        <f t="shared" si="135"/>
        <v>0</v>
      </c>
      <c r="AI510" s="17">
        <f t="shared" si="136"/>
        <v>118</v>
      </c>
      <c r="AJ510" s="12">
        <f>VLOOKUP(A510,'PreK Proxy - Sept. 2024'!$A$2:$I$674,9,FALSE)</f>
        <v>147</v>
      </c>
      <c r="AK510" s="18">
        <f t="shared" si="137"/>
        <v>0.80272108843537415</v>
      </c>
    </row>
    <row r="511" spans="1:37" x14ac:dyDescent="0.35">
      <c r="A511" s="11" t="s">
        <v>1027</v>
      </c>
      <c r="B511" s="12" t="s">
        <v>1028</v>
      </c>
      <c r="C511" s="54" t="s">
        <v>1416</v>
      </c>
      <c r="D511" s="54" t="s">
        <v>545</v>
      </c>
      <c r="E511" s="66">
        <f t="shared" si="123"/>
        <v>152</v>
      </c>
      <c r="F511" s="13">
        <f t="shared" si="124"/>
        <v>0</v>
      </c>
      <c r="G511" s="67">
        <f t="shared" si="125"/>
        <v>152</v>
      </c>
      <c r="H511" s="64">
        <f t="shared" si="121"/>
        <v>152</v>
      </c>
      <c r="I511" s="80">
        <v>0</v>
      </c>
      <c r="J511" s="80">
        <v>152</v>
      </c>
      <c r="K511" s="59">
        <f t="shared" si="126"/>
        <v>152</v>
      </c>
      <c r="L511" s="59">
        <v>0</v>
      </c>
      <c r="M511" s="59">
        <v>0</v>
      </c>
      <c r="N511" s="59">
        <f t="shared" si="127"/>
        <v>0</v>
      </c>
      <c r="O511" s="15">
        <f t="shared" si="128"/>
        <v>0</v>
      </c>
      <c r="P511" s="87">
        <f t="shared" si="129"/>
        <v>0</v>
      </c>
      <c r="Q511" s="110">
        <v>0</v>
      </c>
      <c r="R511" s="59">
        <v>0</v>
      </c>
      <c r="S511" s="14">
        <v>0</v>
      </c>
      <c r="T511" s="59">
        <v>0</v>
      </c>
      <c r="U511" s="15">
        <f t="shared" si="122"/>
        <v>0</v>
      </c>
      <c r="V511" s="14">
        <v>0</v>
      </c>
      <c r="W511" s="15">
        <f t="shared" si="130"/>
        <v>0</v>
      </c>
      <c r="X511" s="14">
        <v>0</v>
      </c>
      <c r="Y511" s="75">
        <v>0</v>
      </c>
      <c r="Z511" s="87">
        <f t="shared" si="131"/>
        <v>0</v>
      </c>
      <c r="AA511" s="14">
        <f t="shared" si="132"/>
        <v>0</v>
      </c>
      <c r="AB511" s="75">
        <v>0</v>
      </c>
      <c r="AC511" s="75">
        <v>0</v>
      </c>
      <c r="AD511" s="59">
        <f t="shared" si="133"/>
        <v>0</v>
      </c>
      <c r="AE511" s="73">
        <v>0</v>
      </c>
      <c r="AF511" s="73">
        <v>0</v>
      </c>
      <c r="AG511" s="15">
        <f t="shared" si="134"/>
        <v>0</v>
      </c>
      <c r="AH511" s="16">
        <f t="shared" si="135"/>
        <v>152</v>
      </c>
      <c r="AI511" s="17">
        <f t="shared" si="136"/>
        <v>0</v>
      </c>
      <c r="AJ511" s="12">
        <f>VLOOKUP(A511,'PreK Proxy - Sept. 2024'!$A$2:$I$674,9,FALSE)</f>
        <v>238</v>
      </c>
      <c r="AK511" s="18">
        <f t="shared" si="137"/>
        <v>0.6386554621848739</v>
      </c>
    </row>
    <row r="512" spans="1:37" x14ac:dyDescent="0.35">
      <c r="A512" s="11" t="s">
        <v>1029</v>
      </c>
      <c r="B512" s="12" t="s">
        <v>1030</v>
      </c>
      <c r="C512" s="54" t="s">
        <v>1416</v>
      </c>
      <c r="D512" s="54" t="s">
        <v>545</v>
      </c>
      <c r="E512" s="66">
        <f t="shared" si="123"/>
        <v>108</v>
      </c>
      <c r="F512" s="13">
        <f t="shared" si="124"/>
        <v>108</v>
      </c>
      <c r="G512" s="67">
        <f t="shared" si="125"/>
        <v>0</v>
      </c>
      <c r="H512" s="64">
        <f t="shared" si="121"/>
        <v>108</v>
      </c>
      <c r="I512" s="80">
        <v>0</v>
      </c>
      <c r="J512" s="80">
        <v>0</v>
      </c>
      <c r="K512" s="59">
        <f t="shared" si="126"/>
        <v>0</v>
      </c>
      <c r="L512" s="59">
        <v>0</v>
      </c>
      <c r="M512" s="59">
        <v>108</v>
      </c>
      <c r="N512" s="59">
        <f t="shared" si="127"/>
        <v>108</v>
      </c>
      <c r="O512" s="15">
        <f t="shared" si="128"/>
        <v>0</v>
      </c>
      <c r="P512" s="87">
        <f t="shared" si="129"/>
        <v>0</v>
      </c>
      <c r="Q512" s="110">
        <v>0</v>
      </c>
      <c r="R512" s="59">
        <v>0</v>
      </c>
      <c r="S512" s="14">
        <v>0</v>
      </c>
      <c r="T512" s="59">
        <v>0</v>
      </c>
      <c r="U512" s="15">
        <f t="shared" si="122"/>
        <v>0</v>
      </c>
      <c r="V512" s="14">
        <v>0</v>
      </c>
      <c r="W512" s="15">
        <f t="shared" si="130"/>
        <v>0</v>
      </c>
      <c r="X512" s="14">
        <v>0</v>
      </c>
      <c r="Y512" s="75">
        <v>0</v>
      </c>
      <c r="Z512" s="87">
        <f t="shared" si="131"/>
        <v>0</v>
      </c>
      <c r="AA512" s="14">
        <f t="shared" si="132"/>
        <v>0</v>
      </c>
      <c r="AB512" s="75">
        <v>0</v>
      </c>
      <c r="AC512" s="75">
        <v>0</v>
      </c>
      <c r="AD512" s="59">
        <f t="shared" si="133"/>
        <v>0</v>
      </c>
      <c r="AE512" s="73">
        <v>0</v>
      </c>
      <c r="AF512" s="73">
        <v>0</v>
      </c>
      <c r="AG512" s="15">
        <f t="shared" si="134"/>
        <v>0</v>
      </c>
      <c r="AH512" s="16">
        <f t="shared" si="135"/>
        <v>0</v>
      </c>
      <c r="AI512" s="17">
        <f t="shared" si="136"/>
        <v>108</v>
      </c>
      <c r="AJ512" s="12">
        <f>VLOOKUP(A512,'PreK Proxy - Sept. 2024'!$A$2:$I$674,9,FALSE)</f>
        <v>137</v>
      </c>
      <c r="AK512" s="18">
        <f t="shared" si="137"/>
        <v>0.78832116788321172</v>
      </c>
    </row>
    <row r="513" spans="1:37" x14ac:dyDescent="0.35">
      <c r="A513" s="11" t="s">
        <v>1031</v>
      </c>
      <c r="B513" s="12" t="s">
        <v>1032</v>
      </c>
      <c r="C513" s="54" t="s">
        <v>1416</v>
      </c>
      <c r="D513" s="54" t="s">
        <v>545</v>
      </c>
      <c r="E513" s="66">
        <f t="shared" si="123"/>
        <v>0</v>
      </c>
      <c r="F513" s="13">
        <f t="shared" si="124"/>
        <v>0</v>
      </c>
      <c r="G513" s="67">
        <f t="shared" si="125"/>
        <v>0</v>
      </c>
      <c r="H513" s="64">
        <f t="shared" si="121"/>
        <v>0</v>
      </c>
      <c r="I513" s="80">
        <v>0</v>
      </c>
      <c r="J513" s="80">
        <v>0</v>
      </c>
      <c r="K513" s="59">
        <f t="shared" si="126"/>
        <v>0</v>
      </c>
      <c r="L513" s="59">
        <v>0</v>
      </c>
      <c r="M513" s="59">
        <v>0</v>
      </c>
      <c r="N513" s="59">
        <f t="shared" si="127"/>
        <v>0</v>
      </c>
      <c r="O513" s="15">
        <f t="shared" si="128"/>
        <v>0</v>
      </c>
      <c r="P513" s="87">
        <f t="shared" si="129"/>
        <v>0</v>
      </c>
      <c r="Q513" s="110">
        <v>0</v>
      </c>
      <c r="R513" s="59">
        <v>0</v>
      </c>
      <c r="S513" s="14">
        <v>0</v>
      </c>
      <c r="T513" s="59">
        <v>0</v>
      </c>
      <c r="U513" s="15">
        <f t="shared" si="122"/>
        <v>0</v>
      </c>
      <c r="V513" s="14">
        <v>0</v>
      </c>
      <c r="W513" s="15">
        <f t="shared" si="130"/>
        <v>0</v>
      </c>
      <c r="X513" s="14">
        <v>0</v>
      </c>
      <c r="Y513" s="75">
        <v>0</v>
      </c>
      <c r="Z513" s="87">
        <f t="shared" si="131"/>
        <v>0</v>
      </c>
      <c r="AA513" s="14">
        <f t="shared" si="132"/>
        <v>0</v>
      </c>
      <c r="AB513" s="75">
        <v>0</v>
      </c>
      <c r="AC513" s="75">
        <v>0</v>
      </c>
      <c r="AD513" s="59">
        <f t="shared" si="133"/>
        <v>0</v>
      </c>
      <c r="AE513" s="73">
        <v>0</v>
      </c>
      <c r="AF513" s="73">
        <v>0</v>
      </c>
      <c r="AG513" s="15">
        <f t="shared" si="134"/>
        <v>0</v>
      </c>
      <c r="AH513" s="16">
        <f t="shared" si="135"/>
        <v>0</v>
      </c>
      <c r="AI513" s="17">
        <f t="shared" si="136"/>
        <v>0</v>
      </c>
      <c r="AJ513" s="12">
        <f>VLOOKUP(A513,'PreK Proxy - Sept. 2024'!$A$2:$I$674,9,FALSE)</f>
        <v>311</v>
      </c>
      <c r="AK513" s="18">
        <f t="shared" si="137"/>
        <v>0</v>
      </c>
    </row>
    <row r="514" spans="1:37" x14ac:dyDescent="0.35">
      <c r="A514" s="11" t="s">
        <v>1033</v>
      </c>
      <c r="B514" s="12" t="s">
        <v>1034</v>
      </c>
      <c r="C514" s="54" t="s">
        <v>1416</v>
      </c>
      <c r="D514" s="54" t="s">
        <v>545</v>
      </c>
      <c r="E514" s="66">
        <f t="shared" si="123"/>
        <v>133</v>
      </c>
      <c r="F514" s="13">
        <f t="shared" si="124"/>
        <v>118</v>
      </c>
      <c r="G514" s="67">
        <f t="shared" si="125"/>
        <v>15</v>
      </c>
      <c r="H514" s="64">
        <f t="shared" si="121"/>
        <v>118</v>
      </c>
      <c r="I514" s="80">
        <v>0</v>
      </c>
      <c r="J514" s="80">
        <v>15</v>
      </c>
      <c r="K514" s="59">
        <f t="shared" si="126"/>
        <v>15</v>
      </c>
      <c r="L514" s="59">
        <v>0</v>
      </c>
      <c r="M514" s="59">
        <v>103</v>
      </c>
      <c r="N514" s="59">
        <f t="shared" si="127"/>
        <v>103</v>
      </c>
      <c r="O514" s="15">
        <f t="shared" si="128"/>
        <v>0</v>
      </c>
      <c r="P514" s="87">
        <f t="shared" si="129"/>
        <v>15</v>
      </c>
      <c r="Q514" s="110">
        <v>0</v>
      </c>
      <c r="R514" s="59">
        <v>15</v>
      </c>
      <c r="S514" s="14">
        <v>0</v>
      </c>
      <c r="T514" s="59">
        <v>0</v>
      </c>
      <c r="U514" s="15">
        <f t="shared" si="122"/>
        <v>0</v>
      </c>
      <c r="V514" s="14">
        <v>0</v>
      </c>
      <c r="W514" s="15">
        <f t="shared" si="130"/>
        <v>0</v>
      </c>
      <c r="X514" s="14">
        <v>0</v>
      </c>
      <c r="Y514" s="75">
        <v>0</v>
      </c>
      <c r="Z514" s="87">
        <f t="shared" si="131"/>
        <v>0</v>
      </c>
      <c r="AA514" s="14">
        <f t="shared" si="132"/>
        <v>0</v>
      </c>
      <c r="AB514" s="75">
        <v>0</v>
      </c>
      <c r="AC514" s="75">
        <v>0</v>
      </c>
      <c r="AD514" s="59">
        <f t="shared" si="133"/>
        <v>0</v>
      </c>
      <c r="AE514" s="73">
        <v>0</v>
      </c>
      <c r="AF514" s="73">
        <v>0</v>
      </c>
      <c r="AG514" s="15">
        <f t="shared" si="134"/>
        <v>0</v>
      </c>
      <c r="AH514" s="16">
        <f t="shared" si="135"/>
        <v>15</v>
      </c>
      <c r="AI514" s="17">
        <f t="shared" si="136"/>
        <v>118</v>
      </c>
      <c r="AJ514" s="12">
        <f>VLOOKUP(A514,'PreK Proxy - Sept. 2024'!$A$2:$I$674,9,FALSE)</f>
        <v>185</v>
      </c>
      <c r="AK514" s="18">
        <f t="shared" si="137"/>
        <v>0.7189189189189189</v>
      </c>
    </row>
    <row r="515" spans="1:37" x14ac:dyDescent="0.35">
      <c r="A515" s="11" t="s">
        <v>1035</v>
      </c>
      <c r="B515" s="12" t="s">
        <v>1036</v>
      </c>
      <c r="C515" s="54" t="s">
        <v>1416</v>
      </c>
      <c r="D515" s="54" t="s">
        <v>545</v>
      </c>
      <c r="E515" s="66">
        <f t="shared" si="123"/>
        <v>358</v>
      </c>
      <c r="F515" s="13">
        <f t="shared" si="124"/>
        <v>358</v>
      </c>
      <c r="G515" s="67">
        <f t="shared" si="125"/>
        <v>0</v>
      </c>
      <c r="H515" s="64">
        <f t="shared" ref="H515:H578" si="138">K515+N515</f>
        <v>311</v>
      </c>
      <c r="I515" s="80">
        <v>0</v>
      </c>
      <c r="J515" s="80">
        <v>0</v>
      </c>
      <c r="K515" s="59">
        <f t="shared" si="126"/>
        <v>0</v>
      </c>
      <c r="L515" s="59">
        <v>0</v>
      </c>
      <c r="M515" s="59">
        <v>311</v>
      </c>
      <c r="N515" s="59">
        <f t="shared" si="127"/>
        <v>311</v>
      </c>
      <c r="O515" s="15">
        <f t="shared" si="128"/>
        <v>0</v>
      </c>
      <c r="P515" s="87">
        <f t="shared" si="129"/>
        <v>47</v>
      </c>
      <c r="Q515" s="110">
        <v>0</v>
      </c>
      <c r="R515" s="59">
        <v>47</v>
      </c>
      <c r="S515" s="14">
        <v>0</v>
      </c>
      <c r="T515" s="59">
        <v>0</v>
      </c>
      <c r="U515" s="15">
        <f t="shared" si="122"/>
        <v>0</v>
      </c>
      <c r="V515" s="14">
        <v>0</v>
      </c>
      <c r="W515" s="15">
        <f t="shared" si="130"/>
        <v>0</v>
      </c>
      <c r="X515" s="14">
        <v>0</v>
      </c>
      <c r="Y515" s="75">
        <v>0</v>
      </c>
      <c r="Z515" s="87">
        <f t="shared" si="131"/>
        <v>0</v>
      </c>
      <c r="AA515" s="14">
        <f t="shared" si="132"/>
        <v>0</v>
      </c>
      <c r="AB515" s="75">
        <v>0</v>
      </c>
      <c r="AC515" s="75">
        <v>0</v>
      </c>
      <c r="AD515" s="59">
        <f t="shared" si="133"/>
        <v>0</v>
      </c>
      <c r="AE515" s="73">
        <v>0</v>
      </c>
      <c r="AF515" s="73">
        <v>0</v>
      </c>
      <c r="AG515" s="15">
        <f t="shared" si="134"/>
        <v>0</v>
      </c>
      <c r="AH515" s="16">
        <f t="shared" si="135"/>
        <v>0</v>
      </c>
      <c r="AI515" s="17">
        <f t="shared" si="136"/>
        <v>358</v>
      </c>
      <c r="AJ515" s="12">
        <f>VLOOKUP(A515,'PreK Proxy - Sept. 2024'!$A$2:$I$674,9,FALSE)</f>
        <v>591</v>
      </c>
      <c r="AK515" s="18">
        <f t="shared" si="137"/>
        <v>0.60575296108291032</v>
      </c>
    </row>
    <row r="516" spans="1:37" x14ac:dyDescent="0.35">
      <c r="A516" s="11" t="s">
        <v>1037</v>
      </c>
      <c r="B516" s="12" t="s">
        <v>1038</v>
      </c>
      <c r="C516" s="54" t="s">
        <v>1416</v>
      </c>
      <c r="D516" s="54" t="s">
        <v>545</v>
      </c>
      <c r="E516" s="66">
        <f t="shared" si="123"/>
        <v>33</v>
      </c>
      <c r="F516" s="13">
        <f t="shared" si="124"/>
        <v>33</v>
      </c>
      <c r="G516" s="67">
        <f t="shared" si="125"/>
        <v>0</v>
      </c>
      <c r="H516" s="64">
        <f t="shared" si="138"/>
        <v>33</v>
      </c>
      <c r="I516" s="80">
        <v>0</v>
      </c>
      <c r="J516" s="80">
        <v>0</v>
      </c>
      <c r="K516" s="59">
        <f t="shared" si="126"/>
        <v>0</v>
      </c>
      <c r="L516" s="59">
        <v>0</v>
      </c>
      <c r="M516" s="59">
        <v>33</v>
      </c>
      <c r="N516" s="59">
        <f t="shared" si="127"/>
        <v>33</v>
      </c>
      <c r="O516" s="15">
        <f t="shared" si="128"/>
        <v>0</v>
      </c>
      <c r="P516" s="87">
        <f t="shared" si="129"/>
        <v>0</v>
      </c>
      <c r="Q516" s="110">
        <v>0</v>
      </c>
      <c r="R516" s="59">
        <v>0</v>
      </c>
      <c r="S516" s="14">
        <v>0</v>
      </c>
      <c r="T516" s="59">
        <v>0</v>
      </c>
      <c r="U516" s="15">
        <f t="shared" ref="U516:U579" si="139">S516+T516</f>
        <v>0</v>
      </c>
      <c r="V516" s="14">
        <v>0</v>
      </c>
      <c r="W516" s="15">
        <f t="shared" si="130"/>
        <v>0</v>
      </c>
      <c r="X516" s="14">
        <v>0</v>
      </c>
      <c r="Y516" s="75">
        <v>0</v>
      </c>
      <c r="Z516" s="87">
        <f t="shared" si="131"/>
        <v>0</v>
      </c>
      <c r="AA516" s="14">
        <f t="shared" si="132"/>
        <v>0</v>
      </c>
      <c r="AB516" s="75">
        <v>0</v>
      </c>
      <c r="AC516" s="75">
        <v>0</v>
      </c>
      <c r="AD516" s="59">
        <f t="shared" si="133"/>
        <v>0</v>
      </c>
      <c r="AE516" s="73">
        <v>0</v>
      </c>
      <c r="AF516" s="73">
        <v>0</v>
      </c>
      <c r="AG516" s="15">
        <f t="shared" si="134"/>
        <v>0</v>
      </c>
      <c r="AH516" s="16">
        <f t="shared" si="135"/>
        <v>0</v>
      </c>
      <c r="AI516" s="17">
        <f t="shared" si="136"/>
        <v>33</v>
      </c>
      <c r="AJ516" s="12">
        <f>VLOOKUP(A516,'PreK Proxy - Sept. 2024'!$A$2:$I$674,9,FALSE)</f>
        <v>29</v>
      </c>
      <c r="AK516" s="18">
        <f t="shared" si="137"/>
        <v>1</v>
      </c>
    </row>
    <row r="517" spans="1:37" x14ac:dyDescent="0.35">
      <c r="A517" s="11" t="s">
        <v>1039</v>
      </c>
      <c r="B517" s="12" t="s">
        <v>1040</v>
      </c>
      <c r="C517" s="54" t="s">
        <v>1416</v>
      </c>
      <c r="D517" s="54" t="s">
        <v>545</v>
      </c>
      <c r="E517" s="66">
        <f t="shared" ref="E517:E580" si="140">F517+G517</f>
        <v>54</v>
      </c>
      <c r="F517" s="13">
        <f t="shared" ref="F517:F580" si="141">N517+R517+S517+V517+X517+AG517</f>
        <v>54</v>
      </c>
      <c r="G517" s="67">
        <f t="shared" ref="G517:G580" si="142">K517+Q517+AD517</f>
        <v>0</v>
      </c>
      <c r="H517" s="64">
        <f t="shared" si="138"/>
        <v>20</v>
      </c>
      <c r="I517" s="80">
        <v>0</v>
      </c>
      <c r="J517" s="80">
        <v>0</v>
      </c>
      <c r="K517" s="59">
        <f t="shared" ref="K517:K580" si="143">I517+J517</f>
        <v>0</v>
      </c>
      <c r="L517" s="59">
        <v>0</v>
      </c>
      <c r="M517" s="59">
        <v>20</v>
      </c>
      <c r="N517" s="59">
        <f t="shared" ref="N517:N580" si="144">L517+M517</f>
        <v>20</v>
      </c>
      <c r="O517" s="15">
        <f t="shared" ref="O517:O580" si="145">T517+Y517</f>
        <v>0</v>
      </c>
      <c r="P517" s="87">
        <f t="shared" ref="P517:P580" si="146">Q517+R517</f>
        <v>34</v>
      </c>
      <c r="Q517" s="110">
        <v>0</v>
      </c>
      <c r="R517" s="59">
        <v>34</v>
      </c>
      <c r="S517" s="14">
        <v>0</v>
      </c>
      <c r="T517" s="59">
        <v>0</v>
      </c>
      <c r="U517" s="15">
        <f t="shared" si="139"/>
        <v>0</v>
      </c>
      <c r="V517" s="14">
        <v>0</v>
      </c>
      <c r="W517" s="15">
        <f t="shared" ref="W517:W580" si="147">V517</f>
        <v>0</v>
      </c>
      <c r="X517" s="14">
        <v>0</v>
      </c>
      <c r="Y517" s="75">
        <v>0</v>
      </c>
      <c r="Z517" s="87">
        <f t="shared" ref="Z517:Z580" si="148">X517+Y517</f>
        <v>0</v>
      </c>
      <c r="AA517" s="14">
        <f t="shared" ref="AA517:AA580" si="149">AD517+AG517</f>
        <v>0</v>
      </c>
      <c r="AB517" s="75">
        <v>0</v>
      </c>
      <c r="AC517" s="75">
        <v>0</v>
      </c>
      <c r="AD517" s="59">
        <f t="shared" ref="AD517:AD580" si="150">AB517+AC517</f>
        <v>0</v>
      </c>
      <c r="AE517" s="73">
        <v>0</v>
      </c>
      <c r="AF517" s="73">
        <v>0</v>
      </c>
      <c r="AG517" s="15">
        <f t="shared" ref="AG517:AG580" si="151">AE517+AF517</f>
        <v>0</v>
      </c>
      <c r="AH517" s="16">
        <f t="shared" ref="AH517:AH580" si="152">J517+Q517+AC517</f>
        <v>0</v>
      </c>
      <c r="AI517" s="17">
        <f t="shared" ref="AI517:AI580" si="153">M517+R517+S517+V517+X517+AF517</f>
        <v>54</v>
      </c>
      <c r="AJ517" s="12">
        <f>VLOOKUP(A517,'PreK Proxy - Sept. 2024'!$A$2:$I$674,9,FALSE)</f>
        <v>80</v>
      </c>
      <c r="AK517" s="18">
        <f t="shared" ref="AK517:AK580" si="154">IFERROR(MIN(100%,((AI517+AH517)/AJ517)),0)</f>
        <v>0.67500000000000004</v>
      </c>
    </row>
    <row r="518" spans="1:37" x14ac:dyDescent="0.35">
      <c r="A518" s="11" t="s">
        <v>1041</v>
      </c>
      <c r="B518" s="12" t="s">
        <v>1042</v>
      </c>
      <c r="C518" s="54" t="s">
        <v>1416</v>
      </c>
      <c r="D518" s="54" t="s">
        <v>545</v>
      </c>
      <c r="E518" s="66">
        <f t="shared" si="140"/>
        <v>72</v>
      </c>
      <c r="F518" s="13">
        <f t="shared" si="141"/>
        <v>72</v>
      </c>
      <c r="G518" s="67">
        <f t="shared" si="142"/>
        <v>0</v>
      </c>
      <c r="H518" s="64">
        <f t="shared" si="138"/>
        <v>27</v>
      </c>
      <c r="I518" s="80">
        <v>0</v>
      </c>
      <c r="J518" s="80">
        <v>0</v>
      </c>
      <c r="K518" s="59">
        <f t="shared" si="143"/>
        <v>0</v>
      </c>
      <c r="L518" s="59">
        <v>0</v>
      </c>
      <c r="M518" s="59">
        <v>27</v>
      </c>
      <c r="N518" s="59">
        <f t="shared" si="144"/>
        <v>27</v>
      </c>
      <c r="O518" s="15">
        <f t="shared" si="145"/>
        <v>0</v>
      </c>
      <c r="P518" s="87">
        <f t="shared" si="146"/>
        <v>45</v>
      </c>
      <c r="Q518" s="110">
        <v>0</v>
      </c>
      <c r="R518" s="59">
        <v>45</v>
      </c>
      <c r="S518" s="14">
        <v>0</v>
      </c>
      <c r="T518" s="59">
        <v>0</v>
      </c>
      <c r="U518" s="15">
        <f t="shared" si="139"/>
        <v>0</v>
      </c>
      <c r="V518" s="14">
        <v>0</v>
      </c>
      <c r="W518" s="15">
        <f t="shared" si="147"/>
        <v>0</v>
      </c>
      <c r="X518" s="14">
        <v>0</v>
      </c>
      <c r="Y518" s="75">
        <v>0</v>
      </c>
      <c r="Z518" s="87">
        <f t="shared" si="148"/>
        <v>0</v>
      </c>
      <c r="AA518" s="14">
        <f t="shared" si="149"/>
        <v>0</v>
      </c>
      <c r="AB518" s="75">
        <v>0</v>
      </c>
      <c r="AC518" s="75">
        <v>0</v>
      </c>
      <c r="AD518" s="59">
        <f t="shared" si="150"/>
        <v>0</v>
      </c>
      <c r="AE518" s="73">
        <v>0</v>
      </c>
      <c r="AF518" s="73">
        <v>0</v>
      </c>
      <c r="AG518" s="15">
        <f t="shared" si="151"/>
        <v>0</v>
      </c>
      <c r="AH518" s="16">
        <f t="shared" si="152"/>
        <v>0</v>
      </c>
      <c r="AI518" s="17">
        <f t="shared" si="153"/>
        <v>72</v>
      </c>
      <c r="AJ518" s="12">
        <f>VLOOKUP(A518,'PreK Proxy - Sept. 2024'!$A$2:$I$674,9,FALSE)</f>
        <v>130</v>
      </c>
      <c r="AK518" s="18">
        <f t="shared" si="154"/>
        <v>0.55384615384615388</v>
      </c>
    </row>
    <row r="519" spans="1:37" x14ac:dyDescent="0.35">
      <c r="A519" s="11" t="s">
        <v>1043</v>
      </c>
      <c r="B519" s="12" t="s">
        <v>1044</v>
      </c>
      <c r="C519" s="54" t="s">
        <v>1416</v>
      </c>
      <c r="D519" s="54" t="s">
        <v>545</v>
      </c>
      <c r="E519" s="66">
        <f t="shared" si="140"/>
        <v>119</v>
      </c>
      <c r="F519" s="13">
        <f t="shared" si="141"/>
        <v>66</v>
      </c>
      <c r="G519" s="67">
        <f t="shared" si="142"/>
        <v>53</v>
      </c>
      <c r="H519" s="64">
        <f t="shared" si="138"/>
        <v>86</v>
      </c>
      <c r="I519" s="80">
        <v>0</v>
      </c>
      <c r="J519" s="80">
        <v>52</v>
      </c>
      <c r="K519" s="59">
        <f t="shared" si="143"/>
        <v>52</v>
      </c>
      <c r="L519" s="59">
        <v>0</v>
      </c>
      <c r="M519" s="59">
        <v>34</v>
      </c>
      <c r="N519" s="59">
        <f t="shared" si="144"/>
        <v>34</v>
      </c>
      <c r="O519" s="15">
        <f t="shared" si="145"/>
        <v>0</v>
      </c>
      <c r="P519" s="87">
        <f t="shared" si="146"/>
        <v>33</v>
      </c>
      <c r="Q519" s="110">
        <v>1</v>
      </c>
      <c r="R519" s="59">
        <v>32</v>
      </c>
      <c r="S519" s="14">
        <v>0</v>
      </c>
      <c r="T519" s="59">
        <v>0</v>
      </c>
      <c r="U519" s="15">
        <f t="shared" si="139"/>
        <v>0</v>
      </c>
      <c r="V519" s="14">
        <v>0</v>
      </c>
      <c r="W519" s="15">
        <f t="shared" si="147"/>
        <v>0</v>
      </c>
      <c r="X519" s="14">
        <v>0</v>
      </c>
      <c r="Y519" s="75">
        <v>0</v>
      </c>
      <c r="Z519" s="87">
        <f t="shared" si="148"/>
        <v>0</v>
      </c>
      <c r="AA519" s="14">
        <f t="shared" si="149"/>
        <v>0</v>
      </c>
      <c r="AB519" s="75">
        <v>0</v>
      </c>
      <c r="AC519" s="75">
        <v>0</v>
      </c>
      <c r="AD519" s="59">
        <f t="shared" si="150"/>
        <v>0</v>
      </c>
      <c r="AE519" s="73">
        <v>0</v>
      </c>
      <c r="AF519" s="73">
        <v>0</v>
      </c>
      <c r="AG519" s="15">
        <f t="shared" si="151"/>
        <v>0</v>
      </c>
      <c r="AH519" s="16">
        <f t="shared" si="152"/>
        <v>53</v>
      </c>
      <c r="AI519" s="17">
        <f t="shared" si="153"/>
        <v>66</v>
      </c>
      <c r="AJ519" s="12">
        <f>VLOOKUP(A519,'PreK Proxy - Sept. 2024'!$A$2:$I$674,9,FALSE)</f>
        <v>138</v>
      </c>
      <c r="AK519" s="18">
        <f t="shared" si="154"/>
        <v>0.8623188405797102</v>
      </c>
    </row>
    <row r="520" spans="1:37" x14ac:dyDescent="0.35">
      <c r="A520" s="11" t="s">
        <v>1045</v>
      </c>
      <c r="B520" s="12" t="s">
        <v>1046</v>
      </c>
      <c r="C520" s="54" t="s">
        <v>1416</v>
      </c>
      <c r="D520" s="54" t="s">
        <v>545</v>
      </c>
      <c r="E520" s="66">
        <f t="shared" si="140"/>
        <v>496</v>
      </c>
      <c r="F520" s="13">
        <f t="shared" si="141"/>
        <v>449</v>
      </c>
      <c r="G520" s="67">
        <f t="shared" si="142"/>
        <v>47</v>
      </c>
      <c r="H520" s="64">
        <f t="shared" si="138"/>
        <v>496</v>
      </c>
      <c r="I520" s="80">
        <v>0</v>
      </c>
      <c r="J520" s="80">
        <v>47</v>
      </c>
      <c r="K520" s="59">
        <f t="shared" si="143"/>
        <v>47</v>
      </c>
      <c r="L520" s="59">
        <v>0</v>
      </c>
      <c r="M520" s="59">
        <v>449</v>
      </c>
      <c r="N520" s="59">
        <f t="shared" si="144"/>
        <v>449</v>
      </c>
      <c r="O520" s="15">
        <f t="shared" si="145"/>
        <v>435</v>
      </c>
      <c r="P520" s="87">
        <f t="shared" si="146"/>
        <v>0</v>
      </c>
      <c r="Q520" s="110">
        <v>0</v>
      </c>
      <c r="R520" s="59">
        <v>0</v>
      </c>
      <c r="S520" s="14">
        <v>0</v>
      </c>
      <c r="T520" s="59">
        <v>435</v>
      </c>
      <c r="U520" s="15">
        <f t="shared" si="139"/>
        <v>435</v>
      </c>
      <c r="V520" s="14">
        <v>0</v>
      </c>
      <c r="W520" s="15">
        <f t="shared" si="147"/>
        <v>0</v>
      </c>
      <c r="X520" s="14">
        <v>0</v>
      </c>
      <c r="Y520" s="75">
        <v>0</v>
      </c>
      <c r="Z520" s="87">
        <f t="shared" si="148"/>
        <v>0</v>
      </c>
      <c r="AA520" s="14">
        <f t="shared" si="149"/>
        <v>0</v>
      </c>
      <c r="AB520" s="75">
        <v>0</v>
      </c>
      <c r="AC520" s="75">
        <v>0</v>
      </c>
      <c r="AD520" s="59">
        <f t="shared" si="150"/>
        <v>0</v>
      </c>
      <c r="AE520" s="73">
        <v>0</v>
      </c>
      <c r="AF520" s="73">
        <v>0</v>
      </c>
      <c r="AG520" s="15">
        <f t="shared" si="151"/>
        <v>0</v>
      </c>
      <c r="AH520" s="16">
        <f t="shared" si="152"/>
        <v>47</v>
      </c>
      <c r="AI520" s="17">
        <f t="shared" si="153"/>
        <v>449</v>
      </c>
      <c r="AJ520" s="12">
        <f>VLOOKUP(A520,'PreK Proxy - Sept. 2024'!$A$2:$I$674,9,FALSE)</f>
        <v>499</v>
      </c>
      <c r="AK520" s="18">
        <f t="shared" si="154"/>
        <v>0.9939879759519038</v>
      </c>
    </row>
    <row r="521" spans="1:37" x14ac:dyDescent="0.35">
      <c r="A521" s="11" t="s">
        <v>1047</v>
      </c>
      <c r="B521" s="12" t="s">
        <v>1048</v>
      </c>
      <c r="C521" s="54" t="s">
        <v>1416</v>
      </c>
      <c r="D521" s="54" t="s">
        <v>545</v>
      </c>
      <c r="E521" s="66">
        <f t="shared" si="140"/>
        <v>352</v>
      </c>
      <c r="F521" s="13">
        <f t="shared" si="141"/>
        <v>352</v>
      </c>
      <c r="G521" s="67">
        <f t="shared" si="142"/>
        <v>0</v>
      </c>
      <c r="H521" s="64">
        <f t="shared" si="138"/>
        <v>245</v>
      </c>
      <c r="I521" s="80">
        <v>0</v>
      </c>
      <c r="J521" s="80">
        <v>0</v>
      </c>
      <c r="K521" s="59">
        <f t="shared" si="143"/>
        <v>0</v>
      </c>
      <c r="L521" s="59">
        <v>0</v>
      </c>
      <c r="M521" s="59">
        <v>245</v>
      </c>
      <c r="N521" s="59">
        <f t="shared" si="144"/>
        <v>245</v>
      </c>
      <c r="O521" s="15">
        <f t="shared" si="145"/>
        <v>0</v>
      </c>
      <c r="P521" s="87">
        <f t="shared" si="146"/>
        <v>107</v>
      </c>
      <c r="Q521" s="110">
        <v>0</v>
      </c>
      <c r="R521" s="59">
        <v>107</v>
      </c>
      <c r="S521" s="14">
        <v>0</v>
      </c>
      <c r="T521" s="59">
        <v>0</v>
      </c>
      <c r="U521" s="15">
        <f t="shared" si="139"/>
        <v>0</v>
      </c>
      <c r="V521" s="14">
        <v>0</v>
      </c>
      <c r="W521" s="15">
        <f t="shared" si="147"/>
        <v>0</v>
      </c>
      <c r="X521" s="14">
        <v>0</v>
      </c>
      <c r="Y521" s="75">
        <v>0</v>
      </c>
      <c r="Z521" s="87">
        <f t="shared" si="148"/>
        <v>0</v>
      </c>
      <c r="AA521" s="14">
        <f t="shared" si="149"/>
        <v>0</v>
      </c>
      <c r="AB521" s="75">
        <v>0</v>
      </c>
      <c r="AC521" s="75">
        <v>0</v>
      </c>
      <c r="AD521" s="59">
        <f t="shared" si="150"/>
        <v>0</v>
      </c>
      <c r="AE521" s="73">
        <v>0</v>
      </c>
      <c r="AF521" s="73">
        <v>0</v>
      </c>
      <c r="AG521" s="15">
        <f t="shared" si="151"/>
        <v>0</v>
      </c>
      <c r="AH521" s="16">
        <f t="shared" si="152"/>
        <v>0</v>
      </c>
      <c r="AI521" s="17">
        <f t="shared" si="153"/>
        <v>352</v>
      </c>
      <c r="AJ521" s="12">
        <f>VLOOKUP(A521,'PreK Proxy - Sept. 2024'!$A$2:$I$674,9,FALSE)</f>
        <v>476</v>
      </c>
      <c r="AK521" s="18">
        <f t="shared" si="154"/>
        <v>0.73949579831932777</v>
      </c>
    </row>
    <row r="522" spans="1:37" x14ac:dyDescent="0.35">
      <c r="A522" s="11" t="s">
        <v>1049</v>
      </c>
      <c r="B522" s="12" t="s">
        <v>1050</v>
      </c>
      <c r="C522" s="54" t="s">
        <v>1416</v>
      </c>
      <c r="D522" s="54" t="s">
        <v>545</v>
      </c>
      <c r="E522" s="66">
        <f t="shared" si="140"/>
        <v>273</v>
      </c>
      <c r="F522" s="13">
        <f t="shared" si="141"/>
        <v>273</v>
      </c>
      <c r="G522" s="67">
        <f t="shared" si="142"/>
        <v>0</v>
      </c>
      <c r="H522" s="64">
        <f t="shared" si="138"/>
        <v>273</v>
      </c>
      <c r="I522" s="80">
        <v>0</v>
      </c>
      <c r="J522" s="80">
        <v>0</v>
      </c>
      <c r="K522" s="59">
        <f t="shared" si="143"/>
        <v>0</v>
      </c>
      <c r="L522" s="59">
        <v>0</v>
      </c>
      <c r="M522" s="59">
        <v>273</v>
      </c>
      <c r="N522" s="59">
        <f t="shared" si="144"/>
        <v>273</v>
      </c>
      <c r="O522" s="15">
        <f t="shared" si="145"/>
        <v>0</v>
      </c>
      <c r="P522" s="87">
        <f t="shared" si="146"/>
        <v>0</v>
      </c>
      <c r="Q522" s="110">
        <v>0</v>
      </c>
      <c r="R522" s="59">
        <v>0</v>
      </c>
      <c r="S522" s="14">
        <v>0</v>
      </c>
      <c r="T522" s="59">
        <v>0</v>
      </c>
      <c r="U522" s="15">
        <f t="shared" si="139"/>
        <v>0</v>
      </c>
      <c r="V522" s="14">
        <v>0</v>
      </c>
      <c r="W522" s="15">
        <f t="shared" si="147"/>
        <v>0</v>
      </c>
      <c r="X522" s="14">
        <v>0</v>
      </c>
      <c r="Y522" s="75">
        <v>0</v>
      </c>
      <c r="Z522" s="87">
        <f t="shared" si="148"/>
        <v>0</v>
      </c>
      <c r="AA522" s="14">
        <f t="shared" si="149"/>
        <v>0</v>
      </c>
      <c r="AB522" s="75">
        <v>0</v>
      </c>
      <c r="AC522" s="75">
        <v>0</v>
      </c>
      <c r="AD522" s="59">
        <f t="shared" si="150"/>
        <v>0</v>
      </c>
      <c r="AE522" s="73">
        <v>0</v>
      </c>
      <c r="AF522" s="73">
        <v>0</v>
      </c>
      <c r="AG522" s="15">
        <f t="shared" si="151"/>
        <v>0</v>
      </c>
      <c r="AH522" s="16">
        <f t="shared" si="152"/>
        <v>0</v>
      </c>
      <c r="AI522" s="17">
        <f t="shared" si="153"/>
        <v>273</v>
      </c>
      <c r="AJ522" s="12">
        <f>VLOOKUP(A522,'PreK Proxy - Sept. 2024'!$A$2:$I$674,9,FALSE)</f>
        <v>384</v>
      </c>
      <c r="AK522" s="18">
        <f t="shared" si="154"/>
        <v>0.7109375</v>
      </c>
    </row>
    <row r="523" spans="1:37" x14ac:dyDescent="0.35">
      <c r="A523" s="11" t="s">
        <v>1051</v>
      </c>
      <c r="B523" s="12" t="s">
        <v>1052</v>
      </c>
      <c r="C523" s="54" t="s">
        <v>1416</v>
      </c>
      <c r="D523" s="54" t="s">
        <v>545</v>
      </c>
      <c r="E523" s="66">
        <f t="shared" si="140"/>
        <v>337</v>
      </c>
      <c r="F523" s="13">
        <f t="shared" si="141"/>
        <v>251</v>
      </c>
      <c r="G523" s="67">
        <f t="shared" si="142"/>
        <v>86</v>
      </c>
      <c r="H523" s="64">
        <f t="shared" si="138"/>
        <v>337</v>
      </c>
      <c r="I523" s="80">
        <v>0</v>
      </c>
      <c r="J523" s="80">
        <v>86</v>
      </c>
      <c r="K523" s="59">
        <f t="shared" si="143"/>
        <v>86</v>
      </c>
      <c r="L523" s="59">
        <v>0</v>
      </c>
      <c r="M523" s="59">
        <v>251</v>
      </c>
      <c r="N523" s="59">
        <f t="shared" si="144"/>
        <v>251</v>
      </c>
      <c r="O523" s="15">
        <f t="shared" si="145"/>
        <v>0</v>
      </c>
      <c r="P523" s="87">
        <f t="shared" si="146"/>
        <v>0</v>
      </c>
      <c r="Q523" s="110">
        <v>0</v>
      </c>
      <c r="R523" s="59">
        <v>0</v>
      </c>
      <c r="S523" s="14">
        <v>0</v>
      </c>
      <c r="T523" s="59">
        <v>0</v>
      </c>
      <c r="U523" s="15">
        <f t="shared" si="139"/>
        <v>0</v>
      </c>
      <c r="V523" s="14">
        <v>0</v>
      </c>
      <c r="W523" s="15">
        <f t="shared" si="147"/>
        <v>0</v>
      </c>
      <c r="X523" s="14">
        <v>0</v>
      </c>
      <c r="Y523" s="75">
        <v>0</v>
      </c>
      <c r="Z523" s="87">
        <f t="shared" si="148"/>
        <v>0</v>
      </c>
      <c r="AA523" s="14">
        <f t="shared" si="149"/>
        <v>0</v>
      </c>
      <c r="AB523" s="75">
        <v>0</v>
      </c>
      <c r="AC523" s="75">
        <v>0</v>
      </c>
      <c r="AD523" s="59">
        <f t="shared" si="150"/>
        <v>0</v>
      </c>
      <c r="AE523" s="73">
        <v>0</v>
      </c>
      <c r="AF523" s="73">
        <v>0</v>
      </c>
      <c r="AG523" s="15">
        <f t="shared" si="151"/>
        <v>0</v>
      </c>
      <c r="AH523" s="16">
        <f t="shared" si="152"/>
        <v>86</v>
      </c>
      <c r="AI523" s="17">
        <f t="shared" si="153"/>
        <v>251</v>
      </c>
      <c r="AJ523" s="12">
        <f>VLOOKUP(A523,'PreK Proxy - Sept. 2024'!$A$2:$I$674,9,FALSE)</f>
        <v>464</v>
      </c>
      <c r="AK523" s="18">
        <f t="shared" si="154"/>
        <v>0.72629310344827591</v>
      </c>
    </row>
    <row r="524" spans="1:37" x14ac:dyDescent="0.35">
      <c r="A524" s="11" t="s">
        <v>1053</v>
      </c>
      <c r="B524" s="12" t="s">
        <v>1054</v>
      </c>
      <c r="C524" s="54" t="s">
        <v>1416</v>
      </c>
      <c r="D524" s="54" t="s">
        <v>545</v>
      </c>
      <c r="E524" s="66">
        <f t="shared" si="140"/>
        <v>60</v>
      </c>
      <c r="F524" s="13">
        <f t="shared" si="141"/>
        <v>60</v>
      </c>
      <c r="G524" s="67">
        <f t="shared" si="142"/>
        <v>0</v>
      </c>
      <c r="H524" s="64">
        <f t="shared" si="138"/>
        <v>60</v>
      </c>
      <c r="I524" s="80">
        <v>0</v>
      </c>
      <c r="J524" s="80">
        <v>0</v>
      </c>
      <c r="K524" s="59">
        <f t="shared" si="143"/>
        <v>0</v>
      </c>
      <c r="L524" s="59">
        <v>0</v>
      </c>
      <c r="M524" s="59">
        <v>60</v>
      </c>
      <c r="N524" s="59">
        <f t="shared" si="144"/>
        <v>60</v>
      </c>
      <c r="O524" s="15">
        <f t="shared" si="145"/>
        <v>0</v>
      </c>
      <c r="P524" s="87">
        <f t="shared" si="146"/>
        <v>0</v>
      </c>
      <c r="Q524" s="110">
        <v>0</v>
      </c>
      <c r="R524" s="59">
        <v>0</v>
      </c>
      <c r="S524" s="14">
        <v>0</v>
      </c>
      <c r="T524" s="59">
        <v>0</v>
      </c>
      <c r="U524" s="15">
        <f t="shared" si="139"/>
        <v>0</v>
      </c>
      <c r="V524" s="14">
        <v>0</v>
      </c>
      <c r="W524" s="15">
        <f t="shared" si="147"/>
        <v>0</v>
      </c>
      <c r="X524" s="14">
        <v>0</v>
      </c>
      <c r="Y524" s="75">
        <v>0</v>
      </c>
      <c r="Z524" s="87">
        <f t="shared" si="148"/>
        <v>0</v>
      </c>
      <c r="AA524" s="14">
        <f t="shared" si="149"/>
        <v>0</v>
      </c>
      <c r="AB524" s="75">
        <v>0</v>
      </c>
      <c r="AC524" s="75">
        <v>0</v>
      </c>
      <c r="AD524" s="59">
        <f t="shared" si="150"/>
        <v>0</v>
      </c>
      <c r="AE524" s="73">
        <v>0</v>
      </c>
      <c r="AF524" s="73">
        <v>0</v>
      </c>
      <c r="AG524" s="15">
        <f t="shared" si="151"/>
        <v>0</v>
      </c>
      <c r="AH524" s="16">
        <f t="shared" si="152"/>
        <v>0</v>
      </c>
      <c r="AI524" s="17">
        <f t="shared" si="153"/>
        <v>60</v>
      </c>
      <c r="AJ524" s="12">
        <f>VLOOKUP(A524,'PreK Proxy - Sept. 2024'!$A$2:$I$674,9,FALSE)</f>
        <v>93</v>
      </c>
      <c r="AK524" s="18">
        <f t="shared" si="154"/>
        <v>0.64516129032258063</v>
      </c>
    </row>
    <row r="525" spans="1:37" x14ac:dyDescent="0.35">
      <c r="A525" s="11" t="s">
        <v>1055</v>
      </c>
      <c r="B525" s="12" t="s">
        <v>1056</v>
      </c>
      <c r="C525" s="54" t="s">
        <v>1416</v>
      </c>
      <c r="D525" s="54" t="s">
        <v>545</v>
      </c>
      <c r="E525" s="66">
        <f t="shared" si="140"/>
        <v>33</v>
      </c>
      <c r="F525" s="13">
        <f t="shared" si="141"/>
        <v>33</v>
      </c>
      <c r="G525" s="67">
        <f t="shared" si="142"/>
        <v>0</v>
      </c>
      <c r="H525" s="64">
        <f t="shared" si="138"/>
        <v>33</v>
      </c>
      <c r="I525" s="80">
        <v>0</v>
      </c>
      <c r="J525" s="80">
        <v>0</v>
      </c>
      <c r="K525" s="59">
        <f t="shared" si="143"/>
        <v>0</v>
      </c>
      <c r="L525" s="59">
        <v>0</v>
      </c>
      <c r="M525" s="59">
        <v>33</v>
      </c>
      <c r="N525" s="59">
        <f t="shared" si="144"/>
        <v>33</v>
      </c>
      <c r="O525" s="15">
        <f t="shared" si="145"/>
        <v>0</v>
      </c>
      <c r="P525" s="87">
        <f t="shared" si="146"/>
        <v>0</v>
      </c>
      <c r="Q525" s="110">
        <v>0</v>
      </c>
      <c r="R525" s="59">
        <v>0</v>
      </c>
      <c r="S525" s="14">
        <v>0</v>
      </c>
      <c r="T525" s="59">
        <v>0</v>
      </c>
      <c r="U525" s="15">
        <f t="shared" si="139"/>
        <v>0</v>
      </c>
      <c r="V525" s="14">
        <v>0</v>
      </c>
      <c r="W525" s="15">
        <f t="shared" si="147"/>
        <v>0</v>
      </c>
      <c r="X525" s="14">
        <v>0</v>
      </c>
      <c r="Y525" s="75">
        <v>0</v>
      </c>
      <c r="Z525" s="87">
        <f t="shared" si="148"/>
        <v>0</v>
      </c>
      <c r="AA525" s="14">
        <f t="shared" si="149"/>
        <v>0</v>
      </c>
      <c r="AB525" s="75">
        <v>0</v>
      </c>
      <c r="AC525" s="75">
        <v>0</v>
      </c>
      <c r="AD525" s="59">
        <f t="shared" si="150"/>
        <v>0</v>
      </c>
      <c r="AE525" s="73">
        <v>0</v>
      </c>
      <c r="AF525" s="73">
        <v>0</v>
      </c>
      <c r="AG525" s="15">
        <f t="shared" si="151"/>
        <v>0</v>
      </c>
      <c r="AH525" s="16">
        <f t="shared" si="152"/>
        <v>0</v>
      </c>
      <c r="AI525" s="17">
        <f t="shared" si="153"/>
        <v>33</v>
      </c>
      <c r="AJ525" s="12">
        <f>VLOOKUP(A525,'PreK Proxy - Sept. 2024'!$A$2:$I$674,9,FALSE)</f>
        <v>52</v>
      </c>
      <c r="AK525" s="18">
        <f t="shared" si="154"/>
        <v>0.63461538461538458</v>
      </c>
    </row>
    <row r="526" spans="1:37" x14ac:dyDescent="0.35">
      <c r="A526" s="11" t="s">
        <v>1057</v>
      </c>
      <c r="B526" s="12" t="s">
        <v>1058</v>
      </c>
      <c r="C526" s="54" t="s">
        <v>1416</v>
      </c>
      <c r="D526" s="54" t="s">
        <v>545</v>
      </c>
      <c r="E526" s="66">
        <f t="shared" si="140"/>
        <v>116</v>
      </c>
      <c r="F526" s="13">
        <f t="shared" si="141"/>
        <v>90</v>
      </c>
      <c r="G526" s="67">
        <f t="shared" si="142"/>
        <v>26</v>
      </c>
      <c r="H526" s="64">
        <f t="shared" si="138"/>
        <v>116</v>
      </c>
      <c r="I526" s="80">
        <v>0</v>
      </c>
      <c r="J526" s="80">
        <v>26</v>
      </c>
      <c r="K526" s="59">
        <f t="shared" si="143"/>
        <v>26</v>
      </c>
      <c r="L526" s="59">
        <v>0</v>
      </c>
      <c r="M526" s="59">
        <v>90</v>
      </c>
      <c r="N526" s="59">
        <f t="shared" si="144"/>
        <v>90</v>
      </c>
      <c r="O526" s="15">
        <f t="shared" si="145"/>
        <v>0</v>
      </c>
      <c r="P526" s="87">
        <f t="shared" si="146"/>
        <v>0</v>
      </c>
      <c r="Q526" s="110">
        <v>0</v>
      </c>
      <c r="R526" s="59">
        <v>0</v>
      </c>
      <c r="S526" s="14">
        <v>0</v>
      </c>
      <c r="T526" s="59">
        <v>0</v>
      </c>
      <c r="U526" s="15">
        <f t="shared" si="139"/>
        <v>0</v>
      </c>
      <c r="V526" s="14">
        <v>0</v>
      </c>
      <c r="W526" s="15">
        <f t="shared" si="147"/>
        <v>0</v>
      </c>
      <c r="X526" s="14">
        <v>0</v>
      </c>
      <c r="Y526" s="75">
        <v>0</v>
      </c>
      <c r="Z526" s="87">
        <f t="shared" si="148"/>
        <v>0</v>
      </c>
      <c r="AA526" s="14">
        <f t="shared" si="149"/>
        <v>0</v>
      </c>
      <c r="AB526" s="75">
        <v>0</v>
      </c>
      <c r="AC526" s="75">
        <v>0</v>
      </c>
      <c r="AD526" s="59">
        <f t="shared" si="150"/>
        <v>0</v>
      </c>
      <c r="AE526" s="73">
        <v>0</v>
      </c>
      <c r="AF526" s="73">
        <v>0</v>
      </c>
      <c r="AG526" s="15">
        <f t="shared" si="151"/>
        <v>0</v>
      </c>
      <c r="AH526" s="16">
        <f t="shared" si="152"/>
        <v>26</v>
      </c>
      <c r="AI526" s="17">
        <f t="shared" si="153"/>
        <v>90</v>
      </c>
      <c r="AJ526" s="12">
        <f>VLOOKUP(A526,'PreK Proxy - Sept. 2024'!$A$2:$I$674,9,FALSE)</f>
        <v>219</v>
      </c>
      <c r="AK526" s="18">
        <f t="shared" si="154"/>
        <v>0.52968036529680362</v>
      </c>
    </row>
    <row r="527" spans="1:37" x14ac:dyDescent="0.35">
      <c r="A527" s="11" t="s">
        <v>1059</v>
      </c>
      <c r="B527" s="12" t="s">
        <v>1060</v>
      </c>
      <c r="C527" s="54" t="s">
        <v>1416</v>
      </c>
      <c r="D527" s="54" t="s">
        <v>545</v>
      </c>
      <c r="E527" s="66">
        <f t="shared" si="140"/>
        <v>59</v>
      </c>
      <c r="F527" s="13">
        <f t="shared" si="141"/>
        <v>59</v>
      </c>
      <c r="G527" s="67">
        <f t="shared" si="142"/>
        <v>0</v>
      </c>
      <c r="H527" s="64">
        <f t="shared" si="138"/>
        <v>59</v>
      </c>
      <c r="I527" s="80">
        <v>0</v>
      </c>
      <c r="J527" s="80">
        <v>0</v>
      </c>
      <c r="K527" s="59">
        <f t="shared" si="143"/>
        <v>0</v>
      </c>
      <c r="L527" s="59">
        <v>0</v>
      </c>
      <c r="M527" s="59">
        <v>59</v>
      </c>
      <c r="N527" s="59">
        <f t="shared" si="144"/>
        <v>59</v>
      </c>
      <c r="O527" s="15">
        <f t="shared" si="145"/>
        <v>0</v>
      </c>
      <c r="P527" s="87">
        <f t="shared" si="146"/>
        <v>0</v>
      </c>
      <c r="Q527" s="110">
        <v>0</v>
      </c>
      <c r="R527" s="59">
        <v>0</v>
      </c>
      <c r="S527" s="14">
        <v>0</v>
      </c>
      <c r="T527" s="59">
        <v>0</v>
      </c>
      <c r="U527" s="15">
        <f t="shared" si="139"/>
        <v>0</v>
      </c>
      <c r="V527" s="14">
        <v>0</v>
      </c>
      <c r="W527" s="15">
        <f t="shared" si="147"/>
        <v>0</v>
      </c>
      <c r="X527" s="14">
        <v>0</v>
      </c>
      <c r="Y527" s="75">
        <v>0</v>
      </c>
      <c r="Z527" s="87">
        <f t="shared" si="148"/>
        <v>0</v>
      </c>
      <c r="AA527" s="14">
        <f t="shared" si="149"/>
        <v>0</v>
      </c>
      <c r="AB527" s="75">
        <v>0</v>
      </c>
      <c r="AC527" s="75">
        <v>0</v>
      </c>
      <c r="AD527" s="59">
        <f t="shared" si="150"/>
        <v>0</v>
      </c>
      <c r="AE527" s="73">
        <v>0</v>
      </c>
      <c r="AF527" s="73">
        <v>0</v>
      </c>
      <c r="AG527" s="15">
        <f t="shared" si="151"/>
        <v>0</v>
      </c>
      <c r="AH527" s="16">
        <f t="shared" si="152"/>
        <v>0</v>
      </c>
      <c r="AI527" s="17">
        <f t="shared" si="153"/>
        <v>59</v>
      </c>
      <c r="AJ527" s="12">
        <f>VLOOKUP(A527,'PreK Proxy - Sept. 2024'!$A$2:$I$674,9,FALSE)</f>
        <v>60</v>
      </c>
      <c r="AK527" s="18">
        <f t="shared" si="154"/>
        <v>0.98333333333333328</v>
      </c>
    </row>
    <row r="528" spans="1:37" x14ac:dyDescent="0.35">
      <c r="A528" s="11" t="s">
        <v>1061</v>
      </c>
      <c r="B528" s="12" t="s">
        <v>1062</v>
      </c>
      <c r="C528" s="54" t="s">
        <v>1416</v>
      </c>
      <c r="D528" s="54" t="s">
        <v>545</v>
      </c>
      <c r="E528" s="66">
        <f t="shared" si="140"/>
        <v>14</v>
      </c>
      <c r="F528" s="13">
        <f t="shared" si="141"/>
        <v>14</v>
      </c>
      <c r="G528" s="67">
        <f t="shared" si="142"/>
        <v>0</v>
      </c>
      <c r="H528" s="64">
        <f t="shared" si="138"/>
        <v>14</v>
      </c>
      <c r="I528" s="80">
        <v>0</v>
      </c>
      <c r="J528" s="80">
        <v>0</v>
      </c>
      <c r="K528" s="59">
        <f t="shared" si="143"/>
        <v>0</v>
      </c>
      <c r="L528" s="59">
        <v>0</v>
      </c>
      <c r="M528" s="59">
        <v>14</v>
      </c>
      <c r="N528" s="59">
        <f t="shared" si="144"/>
        <v>14</v>
      </c>
      <c r="O528" s="15">
        <f t="shared" si="145"/>
        <v>0</v>
      </c>
      <c r="P528" s="87">
        <f t="shared" si="146"/>
        <v>0</v>
      </c>
      <c r="Q528" s="110">
        <v>0</v>
      </c>
      <c r="R528" s="59">
        <v>0</v>
      </c>
      <c r="S528" s="14">
        <v>0</v>
      </c>
      <c r="T528" s="59">
        <v>0</v>
      </c>
      <c r="U528" s="15">
        <f t="shared" si="139"/>
        <v>0</v>
      </c>
      <c r="V528" s="14">
        <v>0</v>
      </c>
      <c r="W528" s="15">
        <f t="shared" si="147"/>
        <v>0</v>
      </c>
      <c r="X528" s="14">
        <v>0</v>
      </c>
      <c r="Y528" s="75">
        <v>0</v>
      </c>
      <c r="Z528" s="87">
        <f t="shared" si="148"/>
        <v>0</v>
      </c>
      <c r="AA528" s="14">
        <f t="shared" si="149"/>
        <v>0</v>
      </c>
      <c r="AB528" s="75">
        <v>0</v>
      </c>
      <c r="AC528" s="75">
        <v>0</v>
      </c>
      <c r="AD528" s="59">
        <f t="shared" si="150"/>
        <v>0</v>
      </c>
      <c r="AE528" s="73">
        <v>0</v>
      </c>
      <c r="AF528" s="73">
        <v>0</v>
      </c>
      <c r="AG528" s="15">
        <f t="shared" si="151"/>
        <v>0</v>
      </c>
      <c r="AH528" s="16">
        <f t="shared" si="152"/>
        <v>0</v>
      </c>
      <c r="AI528" s="17">
        <f t="shared" si="153"/>
        <v>14</v>
      </c>
      <c r="AJ528" s="12">
        <f>VLOOKUP(A528,'PreK Proxy - Sept. 2024'!$A$2:$I$674,9,FALSE)</f>
        <v>14</v>
      </c>
      <c r="AK528" s="18">
        <f t="shared" si="154"/>
        <v>1</v>
      </c>
    </row>
    <row r="529" spans="1:37" x14ac:dyDescent="0.35">
      <c r="A529" s="11" t="s">
        <v>1063</v>
      </c>
      <c r="B529" s="12" t="s">
        <v>1064</v>
      </c>
      <c r="C529" s="54" t="s">
        <v>1416</v>
      </c>
      <c r="D529" s="54" t="s">
        <v>545</v>
      </c>
      <c r="E529" s="66">
        <f t="shared" si="140"/>
        <v>56</v>
      </c>
      <c r="F529" s="13">
        <f t="shared" si="141"/>
        <v>56</v>
      </c>
      <c r="G529" s="67">
        <f t="shared" si="142"/>
        <v>0</v>
      </c>
      <c r="H529" s="64">
        <f t="shared" si="138"/>
        <v>14</v>
      </c>
      <c r="I529" s="80">
        <v>0</v>
      </c>
      <c r="J529" s="80">
        <v>0</v>
      </c>
      <c r="K529" s="59">
        <f t="shared" si="143"/>
        <v>0</v>
      </c>
      <c r="L529" s="59">
        <v>0</v>
      </c>
      <c r="M529" s="59">
        <v>14</v>
      </c>
      <c r="N529" s="59">
        <f t="shared" si="144"/>
        <v>14</v>
      </c>
      <c r="O529" s="15">
        <f t="shared" si="145"/>
        <v>0</v>
      </c>
      <c r="P529" s="87">
        <f t="shared" si="146"/>
        <v>0</v>
      </c>
      <c r="Q529" s="110">
        <v>0</v>
      </c>
      <c r="R529" s="59">
        <v>0</v>
      </c>
      <c r="S529" s="14">
        <v>0</v>
      </c>
      <c r="T529" s="59">
        <v>0</v>
      </c>
      <c r="U529" s="15">
        <f t="shared" si="139"/>
        <v>0</v>
      </c>
      <c r="V529" s="14">
        <v>42</v>
      </c>
      <c r="W529" s="15">
        <f t="shared" si="147"/>
        <v>42</v>
      </c>
      <c r="X529" s="14">
        <v>0</v>
      </c>
      <c r="Y529" s="75">
        <v>0</v>
      </c>
      <c r="Z529" s="87">
        <f t="shared" si="148"/>
        <v>0</v>
      </c>
      <c r="AA529" s="14">
        <f t="shared" si="149"/>
        <v>0</v>
      </c>
      <c r="AB529" s="75">
        <v>0</v>
      </c>
      <c r="AC529" s="75">
        <v>0</v>
      </c>
      <c r="AD529" s="59">
        <f t="shared" si="150"/>
        <v>0</v>
      </c>
      <c r="AE529" s="73">
        <v>0</v>
      </c>
      <c r="AF529" s="73">
        <v>0</v>
      </c>
      <c r="AG529" s="15">
        <f t="shared" si="151"/>
        <v>0</v>
      </c>
      <c r="AH529" s="16">
        <f t="shared" si="152"/>
        <v>0</v>
      </c>
      <c r="AI529" s="17">
        <f t="shared" si="153"/>
        <v>56</v>
      </c>
      <c r="AJ529" s="12">
        <f>VLOOKUP(A529,'PreK Proxy - Sept. 2024'!$A$2:$I$674,9,FALSE)</f>
        <v>53</v>
      </c>
      <c r="AK529" s="18">
        <f t="shared" si="154"/>
        <v>1</v>
      </c>
    </row>
    <row r="530" spans="1:37" x14ac:dyDescent="0.35">
      <c r="A530" s="11" t="s">
        <v>1065</v>
      </c>
      <c r="B530" s="12" t="s">
        <v>1066</v>
      </c>
      <c r="C530" s="54" t="s">
        <v>1416</v>
      </c>
      <c r="D530" s="54" t="s">
        <v>545</v>
      </c>
      <c r="E530" s="66">
        <f t="shared" si="140"/>
        <v>33</v>
      </c>
      <c r="F530" s="13">
        <f t="shared" si="141"/>
        <v>33</v>
      </c>
      <c r="G530" s="67">
        <f t="shared" si="142"/>
        <v>0</v>
      </c>
      <c r="H530" s="64">
        <f t="shared" si="138"/>
        <v>33</v>
      </c>
      <c r="I530" s="80">
        <v>0</v>
      </c>
      <c r="J530" s="80">
        <v>0</v>
      </c>
      <c r="K530" s="59">
        <f t="shared" si="143"/>
        <v>0</v>
      </c>
      <c r="L530" s="59">
        <v>0</v>
      </c>
      <c r="M530" s="59">
        <v>33</v>
      </c>
      <c r="N530" s="59">
        <f t="shared" si="144"/>
        <v>33</v>
      </c>
      <c r="O530" s="15">
        <f t="shared" si="145"/>
        <v>0</v>
      </c>
      <c r="P530" s="87">
        <f t="shared" si="146"/>
        <v>0</v>
      </c>
      <c r="Q530" s="110">
        <v>0</v>
      </c>
      <c r="R530" s="59">
        <v>0</v>
      </c>
      <c r="S530" s="14">
        <v>0</v>
      </c>
      <c r="T530" s="59">
        <v>0</v>
      </c>
      <c r="U530" s="15">
        <f t="shared" si="139"/>
        <v>0</v>
      </c>
      <c r="V530" s="14">
        <v>0</v>
      </c>
      <c r="W530" s="15">
        <f t="shared" si="147"/>
        <v>0</v>
      </c>
      <c r="X530" s="14">
        <v>0</v>
      </c>
      <c r="Y530" s="75">
        <v>0</v>
      </c>
      <c r="Z530" s="87">
        <f t="shared" si="148"/>
        <v>0</v>
      </c>
      <c r="AA530" s="14">
        <f t="shared" si="149"/>
        <v>0</v>
      </c>
      <c r="AB530" s="75">
        <v>0</v>
      </c>
      <c r="AC530" s="75">
        <v>0</v>
      </c>
      <c r="AD530" s="59">
        <f t="shared" si="150"/>
        <v>0</v>
      </c>
      <c r="AE530" s="73">
        <v>0</v>
      </c>
      <c r="AF530" s="73">
        <v>0</v>
      </c>
      <c r="AG530" s="15">
        <f t="shared" si="151"/>
        <v>0</v>
      </c>
      <c r="AH530" s="16">
        <f t="shared" si="152"/>
        <v>0</v>
      </c>
      <c r="AI530" s="17">
        <f t="shared" si="153"/>
        <v>33</v>
      </c>
      <c r="AJ530" s="12">
        <f>VLOOKUP(A530,'PreK Proxy - Sept. 2024'!$A$2:$I$674,9,FALSE)</f>
        <v>51</v>
      </c>
      <c r="AK530" s="18">
        <f t="shared" si="154"/>
        <v>0.6470588235294118</v>
      </c>
    </row>
    <row r="531" spans="1:37" x14ac:dyDescent="0.35">
      <c r="A531" s="11" t="s">
        <v>1067</v>
      </c>
      <c r="B531" s="12" t="s">
        <v>1068</v>
      </c>
      <c r="C531" s="54" t="s">
        <v>1416</v>
      </c>
      <c r="D531" s="54" t="s">
        <v>545</v>
      </c>
      <c r="E531" s="66">
        <f t="shared" si="140"/>
        <v>28</v>
      </c>
      <c r="F531" s="13">
        <f t="shared" si="141"/>
        <v>28</v>
      </c>
      <c r="G531" s="67">
        <f t="shared" si="142"/>
        <v>0</v>
      </c>
      <c r="H531" s="64">
        <f t="shared" si="138"/>
        <v>28</v>
      </c>
      <c r="I531" s="80">
        <v>0</v>
      </c>
      <c r="J531" s="80">
        <v>0</v>
      </c>
      <c r="K531" s="59">
        <f t="shared" si="143"/>
        <v>0</v>
      </c>
      <c r="L531" s="59">
        <v>0</v>
      </c>
      <c r="M531" s="59">
        <v>28</v>
      </c>
      <c r="N531" s="59">
        <f t="shared" si="144"/>
        <v>28</v>
      </c>
      <c r="O531" s="15">
        <f t="shared" si="145"/>
        <v>0</v>
      </c>
      <c r="P531" s="87">
        <f t="shared" si="146"/>
        <v>0</v>
      </c>
      <c r="Q531" s="110">
        <v>0</v>
      </c>
      <c r="R531" s="59">
        <v>0</v>
      </c>
      <c r="S531" s="14">
        <v>0</v>
      </c>
      <c r="T531" s="59">
        <v>0</v>
      </c>
      <c r="U531" s="15">
        <f t="shared" si="139"/>
        <v>0</v>
      </c>
      <c r="V531" s="14">
        <v>0</v>
      </c>
      <c r="W531" s="15">
        <f t="shared" si="147"/>
        <v>0</v>
      </c>
      <c r="X531" s="14">
        <v>0</v>
      </c>
      <c r="Y531" s="75">
        <v>0</v>
      </c>
      <c r="Z531" s="87">
        <f t="shared" si="148"/>
        <v>0</v>
      </c>
      <c r="AA531" s="14">
        <f t="shared" si="149"/>
        <v>0</v>
      </c>
      <c r="AB531" s="75">
        <v>0</v>
      </c>
      <c r="AC531" s="75">
        <v>0</v>
      </c>
      <c r="AD531" s="59">
        <f t="shared" si="150"/>
        <v>0</v>
      </c>
      <c r="AE531" s="73">
        <v>0</v>
      </c>
      <c r="AF531" s="73">
        <v>0</v>
      </c>
      <c r="AG531" s="15">
        <f t="shared" si="151"/>
        <v>0</v>
      </c>
      <c r="AH531" s="16">
        <f t="shared" si="152"/>
        <v>0</v>
      </c>
      <c r="AI531" s="17">
        <f t="shared" si="153"/>
        <v>28</v>
      </c>
      <c r="AJ531" s="12">
        <f>VLOOKUP(A531,'PreK Proxy - Sept. 2024'!$A$2:$I$674,9,FALSE)</f>
        <v>25</v>
      </c>
      <c r="AK531" s="18">
        <f t="shared" si="154"/>
        <v>1</v>
      </c>
    </row>
    <row r="532" spans="1:37" x14ac:dyDescent="0.35">
      <c r="A532" s="11" t="s">
        <v>1069</v>
      </c>
      <c r="B532" s="12" t="s">
        <v>1070</v>
      </c>
      <c r="C532" s="54" t="s">
        <v>1416</v>
      </c>
      <c r="D532" s="54" t="s">
        <v>545</v>
      </c>
      <c r="E532" s="66">
        <f t="shared" si="140"/>
        <v>67</v>
      </c>
      <c r="F532" s="13">
        <f t="shared" si="141"/>
        <v>67</v>
      </c>
      <c r="G532" s="67">
        <f t="shared" si="142"/>
        <v>0</v>
      </c>
      <c r="H532" s="64">
        <f t="shared" si="138"/>
        <v>27</v>
      </c>
      <c r="I532" s="80">
        <v>0</v>
      </c>
      <c r="J532" s="80">
        <v>0</v>
      </c>
      <c r="K532" s="59">
        <f t="shared" si="143"/>
        <v>0</v>
      </c>
      <c r="L532" s="59">
        <v>0</v>
      </c>
      <c r="M532" s="59">
        <v>27</v>
      </c>
      <c r="N532" s="59">
        <f t="shared" si="144"/>
        <v>27</v>
      </c>
      <c r="O532" s="15">
        <f t="shared" si="145"/>
        <v>0</v>
      </c>
      <c r="P532" s="87">
        <f t="shared" si="146"/>
        <v>40</v>
      </c>
      <c r="Q532" s="110">
        <v>0</v>
      </c>
      <c r="R532" s="59">
        <v>40</v>
      </c>
      <c r="S532" s="14">
        <v>0</v>
      </c>
      <c r="T532" s="59">
        <v>0</v>
      </c>
      <c r="U532" s="15">
        <f t="shared" si="139"/>
        <v>0</v>
      </c>
      <c r="V532" s="14">
        <v>0</v>
      </c>
      <c r="W532" s="15">
        <f t="shared" si="147"/>
        <v>0</v>
      </c>
      <c r="X532" s="14">
        <v>0</v>
      </c>
      <c r="Y532" s="75">
        <v>0</v>
      </c>
      <c r="Z532" s="87">
        <f t="shared" si="148"/>
        <v>0</v>
      </c>
      <c r="AA532" s="14">
        <f t="shared" si="149"/>
        <v>0</v>
      </c>
      <c r="AB532" s="75">
        <v>0</v>
      </c>
      <c r="AC532" s="75">
        <v>0</v>
      </c>
      <c r="AD532" s="59">
        <f t="shared" si="150"/>
        <v>0</v>
      </c>
      <c r="AE532" s="73">
        <v>0</v>
      </c>
      <c r="AF532" s="73">
        <v>0</v>
      </c>
      <c r="AG532" s="15">
        <f t="shared" si="151"/>
        <v>0</v>
      </c>
      <c r="AH532" s="16">
        <f t="shared" si="152"/>
        <v>0</v>
      </c>
      <c r="AI532" s="17">
        <f t="shared" si="153"/>
        <v>67</v>
      </c>
      <c r="AJ532" s="12">
        <f>VLOOKUP(A532,'PreK Proxy - Sept. 2024'!$A$2:$I$674,9,FALSE)</f>
        <v>117</v>
      </c>
      <c r="AK532" s="18">
        <f t="shared" si="154"/>
        <v>0.57264957264957261</v>
      </c>
    </row>
    <row r="533" spans="1:37" x14ac:dyDescent="0.35">
      <c r="A533" s="11" t="s">
        <v>1071</v>
      </c>
      <c r="B533" s="12" t="s">
        <v>1072</v>
      </c>
      <c r="C533" s="54" t="s">
        <v>1416</v>
      </c>
      <c r="D533" s="54" t="s">
        <v>545</v>
      </c>
      <c r="E533" s="66">
        <f t="shared" si="140"/>
        <v>0</v>
      </c>
      <c r="F533" s="13">
        <f t="shared" si="141"/>
        <v>0</v>
      </c>
      <c r="G533" s="67">
        <f t="shared" si="142"/>
        <v>0</v>
      </c>
      <c r="H533" s="64">
        <f t="shared" si="138"/>
        <v>0</v>
      </c>
      <c r="I533" s="80">
        <v>0</v>
      </c>
      <c r="J533" s="80">
        <v>0</v>
      </c>
      <c r="K533" s="59">
        <f t="shared" si="143"/>
        <v>0</v>
      </c>
      <c r="L533" s="59">
        <v>0</v>
      </c>
      <c r="M533" s="59">
        <v>0</v>
      </c>
      <c r="N533" s="59">
        <f t="shared" si="144"/>
        <v>0</v>
      </c>
      <c r="O533" s="15">
        <f t="shared" si="145"/>
        <v>0</v>
      </c>
      <c r="P533" s="87">
        <f t="shared" si="146"/>
        <v>0</v>
      </c>
      <c r="Q533" s="110">
        <v>0</v>
      </c>
      <c r="R533" s="59">
        <v>0</v>
      </c>
      <c r="S533" s="14">
        <v>0</v>
      </c>
      <c r="T533" s="59">
        <v>0</v>
      </c>
      <c r="U533" s="15">
        <f t="shared" si="139"/>
        <v>0</v>
      </c>
      <c r="V533" s="14">
        <v>0</v>
      </c>
      <c r="W533" s="15">
        <f t="shared" si="147"/>
        <v>0</v>
      </c>
      <c r="X533" s="14">
        <v>0</v>
      </c>
      <c r="Y533" s="75">
        <v>0</v>
      </c>
      <c r="Z533" s="87">
        <f t="shared" si="148"/>
        <v>0</v>
      </c>
      <c r="AA533" s="14">
        <f t="shared" si="149"/>
        <v>0</v>
      </c>
      <c r="AB533" s="75">
        <v>0</v>
      </c>
      <c r="AC533" s="75">
        <v>0</v>
      </c>
      <c r="AD533" s="59">
        <f t="shared" si="150"/>
        <v>0</v>
      </c>
      <c r="AE533" s="73">
        <v>0</v>
      </c>
      <c r="AF533" s="73">
        <v>0</v>
      </c>
      <c r="AG533" s="15">
        <f t="shared" si="151"/>
        <v>0</v>
      </c>
      <c r="AH533" s="16">
        <f t="shared" si="152"/>
        <v>0</v>
      </c>
      <c r="AI533" s="17">
        <f t="shared" si="153"/>
        <v>0</v>
      </c>
      <c r="AJ533" s="12">
        <f>VLOOKUP(A533,'PreK Proxy - Sept. 2024'!$A$2:$I$674,9,FALSE)</f>
        <v>79</v>
      </c>
      <c r="AK533" s="18">
        <f t="shared" si="154"/>
        <v>0</v>
      </c>
    </row>
    <row r="534" spans="1:37" x14ac:dyDescent="0.35">
      <c r="A534" s="11" t="s">
        <v>1073</v>
      </c>
      <c r="B534" s="12" t="s">
        <v>1074</v>
      </c>
      <c r="C534" s="54" t="s">
        <v>1416</v>
      </c>
      <c r="D534" s="54" t="s">
        <v>545</v>
      </c>
      <c r="E534" s="66">
        <f t="shared" si="140"/>
        <v>161</v>
      </c>
      <c r="F534" s="13">
        <f t="shared" si="141"/>
        <v>161</v>
      </c>
      <c r="G534" s="67">
        <f t="shared" si="142"/>
        <v>0</v>
      </c>
      <c r="H534" s="64">
        <f t="shared" si="138"/>
        <v>134</v>
      </c>
      <c r="I534" s="80">
        <v>0</v>
      </c>
      <c r="J534" s="80">
        <v>0</v>
      </c>
      <c r="K534" s="59">
        <f t="shared" si="143"/>
        <v>0</v>
      </c>
      <c r="L534" s="59">
        <v>0</v>
      </c>
      <c r="M534" s="59">
        <v>134</v>
      </c>
      <c r="N534" s="59">
        <f t="shared" si="144"/>
        <v>134</v>
      </c>
      <c r="O534" s="15">
        <f t="shared" si="145"/>
        <v>0</v>
      </c>
      <c r="P534" s="87">
        <f t="shared" si="146"/>
        <v>27</v>
      </c>
      <c r="Q534" s="110">
        <v>0</v>
      </c>
      <c r="R534" s="59">
        <v>27</v>
      </c>
      <c r="S534" s="14">
        <v>0</v>
      </c>
      <c r="T534" s="59">
        <v>0</v>
      </c>
      <c r="U534" s="15">
        <f t="shared" si="139"/>
        <v>0</v>
      </c>
      <c r="V534" s="14">
        <v>0</v>
      </c>
      <c r="W534" s="15">
        <f t="shared" si="147"/>
        <v>0</v>
      </c>
      <c r="X534" s="14">
        <v>0</v>
      </c>
      <c r="Y534" s="75">
        <v>0</v>
      </c>
      <c r="Z534" s="87">
        <f t="shared" si="148"/>
        <v>0</v>
      </c>
      <c r="AA534" s="14">
        <f t="shared" si="149"/>
        <v>0</v>
      </c>
      <c r="AB534" s="75">
        <v>0</v>
      </c>
      <c r="AC534" s="75">
        <v>0</v>
      </c>
      <c r="AD534" s="59">
        <f t="shared" si="150"/>
        <v>0</v>
      </c>
      <c r="AE534" s="73">
        <v>0</v>
      </c>
      <c r="AF534" s="73">
        <v>0</v>
      </c>
      <c r="AG534" s="15">
        <f t="shared" si="151"/>
        <v>0</v>
      </c>
      <c r="AH534" s="16">
        <f t="shared" si="152"/>
        <v>0</v>
      </c>
      <c r="AI534" s="17">
        <f t="shared" si="153"/>
        <v>161</v>
      </c>
      <c r="AJ534" s="12">
        <f>VLOOKUP(A534,'PreK Proxy - Sept. 2024'!$A$2:$I$674,9,FALSE)</f>
        <v>289</v>
      </c>
      <c r="AK534" s="18">
        <f t="shared" si="154"/>
        <v>0.55709342560553632</v>
      </c>
    </row>
    <row r="535" spans="1:37" x14ac:dyDescent="0.35">
      <c r="A535" s="11" t="s">
        <v>1075</v>
      </c>
      <c r="B535" s="12" t="s">
        <v>1076</v>
      </c>
      <c r="C535" s="54" t="s">
        <v>1416</v>
      </c>
      <c r="D535" s="54" t="s">
        <v>545</v>
      </c>
      <c r="E535" s="66">
        <f t="shared" si="140"/>
        <v>194</v>
      </c>
      <c r="F535" s="13">
        <f t="shared" si="141"/>
        <v>179</v>
      </c>
      <c r="G535" s="67">
        <f t="shared" si="142"/>
        <v>15</v>
      </c>
      <c r="H535" s="64">
        <f t="shared" si="138"/>
        <v>132</v>
      </c>
      <c r="I535" s="80">
        <v>0</v>
      </c>
      <c r="J535" s="80">
        <v>14</v>
      </c>
      <c r="K535" s="59">
        <f t="shared" si="143"/>
        <v>14</v>
      </c>
      <c r="L535" s="59">
        <v>10</v>
      </c>
      <c r="M535" s="59">
        <v>108</v>
      </c>
      <c r="N535" s="59">
        <f t="shared" si="144"/>
        <v>118</v>
      </c>
      <c r="O535" s="15">
        <f t="shared" si="145"/>
        <v>0</v>
      </c>
      <c r="P535" s="87">
        <f t="shared" si="146"/>
        <v>62</v>
      </c>
      <c r="Q535" s="110">
        <v>1</v>
      </c>
      <c r="R535" s="59">
        <v>61</v>
      </c>
      <c r="S535" s="14">
        <v>0</v>
      </c>
      <c r="T535" s="59">
        <v>0</v>
      </c>
      <c r="U535" s="15">
        <f t="shared" si="139"/>
        <v>0</v>
      </c>
      <c r="V535" s="14">
        <v>0</v>
      </c>
      <c r="W535" s="15">
        <f t="shared" si="147"/>
        <v>0</v>
      </c>
      <c r="X535" s="14">
        <v>0</v>
      </c>
      <c r="Y535" s="75">
        <v>0</v>
      </c>
      <c r="Z535" s="87">
        <f t="shared" si="148"/>
        <v>0</v>
      </c>
      <c r="AA535" s="14">
        <f t="shared" si="149"/>
        <v>0</v>
      </c>
      <c r="AB535" s="75">
        <v>0</v>
      </c>
      <c r="AC535" s="75">
        <v>0</v>
      </c>
      <c r="AD535" s="59">
        <f t="shared" si="150"/>
        <v>0</v>
      </c>
      <c r="AE535" s="73">
        <v>0</v>
      </c>
      <c r="AF535" s="73">
        <v>0</v>
      </c>
      <c r="AG535" s="15">
        <f t="shared" si="151"/>
        <v>0</v>
      </c>
      <c r="AH535" s="16">
        <f t="shared" si="152"/>
        <v>15</v>
      </c>
      <c r="AI535" s="17">
        <f t="shared" si="153"/>
        <v>169</v>
      </c>
      <c r="AJ535" s="12">
        <f>VLOOKUP(A535,'PreK Proxy - Sept. 2024'!$A$2:$I$674,9,FALSE)</f>
        <v>272</v>
      </c>
      <c r="AK535" s="18">
        <f t="shared" si="154"/>
        <v>0.67647058823529416</v>
      </c>
    </row>
    <row r="536" spans="1:37" x14ac:dyDescent="0.35">
      <c r="A536" s="11" t="s">
        <v>1077</v>
      </c>
      <c r="B536" s="12" t="s">
        <v>1078</v>
      </c>
      <c r="C536" s="54" t="s">
        <v>1416</v>
      </c>
      <c r="D536" s="54" t="s">
        <v>545</v>
      </c>
      <c r="E536" s="66">
        <f t="shared" si="140"/>
        <v>324</v>
      </c>
      <c r="F536" s="13">
        <f t="shared" si="141"/>
        <v>322</v>
      </c>
      <c r="G536" s="67">
        <f t="shared" si="142"/>
        <v>2</v>
      </c>
      <c r="H536" s="64">
        <f t="shared" si="138"/>
        <v>209</v>
      </c>
      <c r="I536" s="80">
        <v>0</v>
      </c>
      <c r="J536" s="80">
        <v>1</v>
      </c>
      <c r="K536" s="59">
        <f t="shared" si="143"/>
        <v>1</v>
      </c>
      <c r="L536" s="59">
        <v>0</v>
      </c>
      <c r="M536" s="59">
        <v>208</v>
      </c>
      <c r="N536" s="59">
        <f t="shared" si="144"/>
        <v>208</v>
      </c>
      <c r="O536" s="15">
        <f t="shared" si="145"/>
        <v>0</v>
      </c>
      <c r="P536" s="87">
        <f t="shared" si="146"/>
        <v>115</v>
      </c>
      <c r="Q536" s="110">
        <v>1</v>
      </c>
      <c r="R536" s="59">
        <v>114</v>
      </c>
      <c r="S536" s="14">
        <v>0</v>
      </c>
      <c r="T536" s="59">
        <v>0</v>
      </c>
      <c r="U536" s="15">
        <f t="shared" si="139"/>
        <v>0</v>
      </c>
      <c r="V536" s="14">
        <v>0</v>
      </c>
      <c r="W536" s="15">
        <f t="shared" si="147"/>
        <v>0</v>
      </c>
      <c r="X536" s="14">
        <v>0</v>
      </c>
      <c r="Y536" s="75">
        <v>0</v>
      </c>
      <c r="Z536" s="87">
        <f t="shared" si="148"/>
        <v>0</v>
      </c>
      <c r="AA536" s="14">
        <f t="shared" si="149"/>
        <v>0</v>
      </c>
      <c r="AB536" s="75">
        <v>0</v>
      </c>
      <c r="AC536" s="75">
        <v>0</v>
      </c>
      <c r="AD536" s="59">
        <f t="shared" si="150"/>
        <v>0</v>
      </c>
      <c r="AE536" s="73">
        <v>0</v>
      </c>
      <c r="AF536" s="73">
        <v>0</v>
      </c>
      <c r="AG536" s="15">
        <f t="shared" si="151"/>
        <v>0</v>
      </c>
      <c r="AH536" s="16">
        <f t="shared" si="152"/>
        <v>2</v>
      </c>
      <c r="AI536" s="17">
        <f t="shared" si="153"/>
        <v>322</v>
      </c>
      <c r="AJ536" s="12">
        <f>VLOOKUP(A536,'PreK Proxy - Sept. 2024'!$A$2:$I$674,9,FALSE)</f>
        <v>360</v>
      </c>
      <c r="AK536" s="18">
        <f t="shared" si="154"/>
        <v>0.9</v>
      </c>
    </row>
    <row r="537" spans="1:37" x14ac:dyDescent="0.35">
      <c r="A537" s="11" t="s">
        <v>1079</v>
      </c>
      <c r="B537" s="12" t="s">
        <v>1080</v>
      </c>
      <c r="C537" s="54" t="s">
        <v>1416</v>
      </c>
      <c r="D537" s="54" t="s">
        <v>545</v>
      </c>
      <c r="E537" s="66">
        <f t="shared" si="140"/>
        <v>73</v>
      </c>
      <c r="F537" s="13">
        <f t="shared" si="141"/>
        <v>40</v>
      </c>
      <c r="G537" s="67">
        <f t="shared" si="142"/>
        <v>33</v>
      </c>
      <c r="H537" s="64">
        <f t="shared" si="138"/>
        <v>73</v>
      </c>
      <c r="I537" s="80">
        <v>0</v>
      </c>
      <c r="J537" s="80">
        <v>33</v>
      </c>
      <c r="K537" s="59">
        <f t="shared" si="143"/>
        <v>33</v>
      </c>
      <c r="L537" s="59">
        <v>0</v>
      </c>
      <c r="M537" s="59">
        <v>40</v>
      </c>
      <c r="N537" s="59">
        <f t="shared" si="144"/>
        <v>40</v>
      </c>
      <c r="O537" s="15">
        <f t="shared" si="145"/>
        <v>0</v>
      </c>
      <c r="P537" s="87">
        <f t="shared" si="146"/>
        <v>0</v>
      </c>
      <c r="Q537" s="110">
        <v>0</v>
      </c>
      <c r="R537" s="59">
        <v>0</v>
      </c>
      <c r="S537" s="14">
        <v>0</v>
      </c>
      <c r="T537" s="59">
        <v>0</v>
      </c>
      <c r="U537" s="15">
        <f t="shared" si="139"/>
        <v>0</v>
      </c>
      <c r="V537" s="14">
        <v>0</v>
      </c>
      <c r="W537" s="15">
        <f t="shared" si="147"/>
        <v>0</v>
      </c>
      <c r="X537" s="14">
        <v>0</v>
      </c>
      <c r="Y537" s="75">
        <v>0</v>
      </c>
      <c r="Z537" s="87">
        <f t="shared" si="148"/>
        <v>0</v>
      </c>
      <c r="AA537" s="14">
        <f t="shared" si="149"/>
        <v>0</v>
      </c>
      <c r="AB537" s="75">
        <v>0</v>
      </c>
      <c r="AC537" s="75">
        <v>0</v>
      </c>
      <c r="AD537" s="59">
        <f t="shared" si="150"/>
        <v>0</v>
      </c>
      <c r="AE537" s="73">
        <v>0</v>
      </c>
      <c r="AF537" s="73">
        <v>0</v>
      </c>
      <c r="AG537" s="15">
        <f t="shared" si="151"/>
        <v>0</v>
      </c>
      <c r="AH537" s="16">
        <f t="shared" si="152"/>
        <v>33</v>
      </c>
      <c r="AI537" s="17">
        <f t="shared" si="153"/>
        <v>40</v>
      </c>
      <c r="AJ537" s="12">
        <f>VLOOKUP(A537,'PreK Proxy - Sept. 2024'!$A$2:$I$674,9,FALSE)</f>
        <v>171</v>
      </c>
      <c r="AK537" s="18">
        <f t="shared" si="154"/>
        <v>0.42690058479532161</v>
      </c>
    </row>
    <row r="538" spans="1:37" x14ac:dyDescent="0.35">
      <c r="A538" s="11" t="s">
        <v>1081</v>
      </c>
      <c r="B538" s="12" t="s">
        <v>1082</v>
      </c>
      <c r="C538" s="54" t="s">
        <v>1416</v>
      </c>
      <c r="D538" s="54" t="s">
        <v>545</v>
      </c>
      <c r="E538" s="66">
        <f t="shared" si="140"/>
        <v>240</v>
      </c>
      <c r="F538" s="13">
        <f t="shared" si="141"/>
        <v>140</v>
      </c>
      <c r="G538" s="67">
        <f t="shared" si="142"/>
        <v>100</v>
      </c>
      <c r="H538" s="64">
        <f t="shared" si="138"/>
        <v>169</v>
      </c>
      <c r="I538" s="80">
        <v>0</v>
      </c>
      <c r="J538" s="80">
        <v>100</v>
      </c>
      <c r="K538" s="59">
        <f t="shared" si="143"/>
        <v>100</v>
      </c>
      <c r="L538" s="59">
        <v>0</v>
      </c>
      <c r="M538" s="59">
        <v>69</v>
      </c>
      <c r="N538" s="59">
        <f t="shared" si="144"/>
        <v>69</v>
      </c>
      <c r="O538" s="15">
        <f t="shared" si="145"/>
        <v>0</v>
      </c>
      <c r="P538" s="87">
        <f t="shared" si="146"/>
        <v>71</v>
      </c>
      <c r="Q538" s="110">
        <v>0</v>
      </c>
      <c r="R538" s="59">
        <v>71</v>
      </c>
      <c r="S538" s="14">
        <v>0</v>
      </c>
      <c r="T538" s="59">
        <v>0</v>
      </c>
      <c r="U538" s="15">
        <f t="shared" si="139"/>
        <v>0</v>
      </c>
      <c r="V538" s="14">
        <v>0</v>
      </c>
      <c r="W538" s="15">
        <f t="shared" si="147"/>
        <v>0</v>
      </c>
      <c r="X538" s="14">
        <v>0</v>
      </c>
      <c r="Y538" s="75">
        <v>0</v>
      </c>
      <c r="Z538" s="87">
        <f t="shared" si="148"/>
        <v>0</v>
      </c>
      <c r="AA538" s="14">
        <f t="shared" si="149"/>
        <v>0</v>
      </c>
      <c r="AB538" s="75">
        <v>0</v>
      </c>
      <c r="AC538" s="75">
        <v>0</v>
      </c>
      <c r="AD538" s="59">
        <f t="shared" si="150"/>
        <v>0</v>
      </c>
      <c r="AE538" s="73">
        <v>0</v>
      </c>
      <c r="AF538" s="73">
        <v>0</v>
      </c>
      <c r="AG538" s="15">
        <f t="shared" si="151"/>
        <v>0</v>
      </c>
      <c r="AH538" s="16">
        <f t="shared" si="152"/>
        <v>100</v>
      </c>
      <c r="AI538" s="17">
        <f t="shared" si="153"/>
        <v>140</v>
      </c>
      <c r="AJ538" s="12">
        <f>VLOOKUP(A538,'PreK Proxy - Sept. 2024'!$A$2:$I$674,9,FALSE)</f>
        <v>281</v>
      </c>
      <c r="AK538" s="18">
        <f t="shared" si="154"/>
        <v>0.85409252669039148</v>
      </c>
    </row>
    <row r="539" spans="1:37" x14ac:dyDescent="0.35">
      <c r="A539" s="11" t="s">
        <v>1083</v>
      </c>
      <c r="B539" s="12" t="s">
        <v>1084</v>
      </c>
      <c r="C539" s="54" t="s">
        <v>1416</v>
      </c>
      <c r="D539" s="54" t="s">
        <v>545</v>
      </c>
      <c r="E539" s="66">
        <f t="shared" si="140"/>
        <v>141</v>
      </c>
      <c r="F539" s="13">
        <f t="shared" si="141"/>
        <v>128</v>
      </c>
      <c r="G539" s="67">
        <f t="shared" si="142"/>
        <v>13</v>
      </c>
      <c r="H539" s="64">
        <f t="shared" si="138"/>
        <v>141</v>
      </c>
      <c r="I539" s="80">
        <v>1</v>
      </c>
      <c r="J539" s="80">
        <v>12</v>
      </c>
      <c r="K539" s="59">
        <f t="shared" si="143"/>
        <v>13</v>
      </c>
      <c r="L539" s="59">
        <v>2</v>
      </c>
      <c r="M539" s="59">
        <v>126</v>
      </c>
      <c r="N539" s="59">
        <f t="shared" si="144"/>
        <v>128</v>
      </c>
      <c r="O539" s="15">
        <f t="shared" si="145"/>
        <v>0</v>
      </c>
      <c r="P539" s="87">
        <f t="shared" si="146"/>
        <v>0</v>
      </c>
      <c r="Q539" s="110">
        <v>0</v>
      </c>
      <c r="R539" s="59">
        <v>0</v>
      </c>
      <c r="S539" s="14">
        <v>0</v>
      </c>
      <c r="T539" s="59">
        <v>0</v>
      </c>
      <c r="U539" s="15">
        <f t="shared" si="139"/>
        <v>0</v>
      </c>
      <c r="V539" s="14">
        <v>0</v>
      </c>
      <c r="W539" s="15">
        <f t="shared" si="147"/>
        <v>0</v>
      </c>
      <c r="X539" s="14">
        <v>0</v>
      </c>
      <c r="Y539" s="75">
        <v>0</v>
      </c>
      <c r="Z539" s="87">
        <f t="shared" si="148"/>
        <v>0</v>
      </c>
      <c r="AA539" s="14">
        <f t="shared" si="149"/>
        <v>0</v>
      </c>
      <c r="AB539" s="75">
        <v>0</v>
      </c>
      <c r="AC539" s="75">
        <v>0</v>
      </c>
      <c r="AD539" s="59">
        <f t="shared" si="150"/>
        <v>0</v>
      </c>
      <c r="AE539" s="73">
        <v>0</v>
      </c>
      <c r="AF539" s="73">
        <v>0</v>
      </c>
      <c r="AG539" s="15">
        <f t="shared" si="151"/>
        <v>0</v>
      </c>
      <c r="AH539" s="16">
        <f t="shared" si="152"/>
        <v>12</v>
      </c>
      <c r="AI539" s="17">
        <f t="shared" si="153"/>
        <v>126</v>
      </c>
      <c r="AJ539" s="12">
        <f>VLOOKUP(A539,'PreK Proxy - Sept. 2024'!$A$2:$I$674,9,FALSE)</f>
        <v>361</v>
      </c>
      <c r="AK539" s="18">
        <f t="shared" si="154"/>
        <v>0.38227146814404434</v>
      </c>
    </row>
    <row r="540" spans="1:37" x14ac:dyDescent="0.35">
      <c r="A540" s="11" t="s">
        <v>1085</v>
      </c>
      <c r="B540" s="12" t="s">
        <v>1086</v>
      </c>
      <c r="C540" s="54" t="s">
        <v>1416</v>
      </c>
      <c r="D540" s="54" t="s">
        <v>545</v>
      </c>
      <c r="E540" s="66">
        <f t="shared" si="140"/>
        <v>254</v>
      </c>
      <c r="F540" s="13">
        <f t="shared" si="141"/>
        <v>254</v>
      </c>
      <c r="G540" s="67">
        <f t="shared" si="142"/>
        <v>0</v>
      </c>
      <c r="H540" s="64">
        <f t="shared" si="138"/>
        <v>108</v>
      </c>
      <c r="I540" s="80">
        <v>0</v>
      </c>
      <c r="J540" s="80">
        <v>0</v>
      </c>
      <c r="K540" s="59">
        <f t="shared" si="143"/>
        <v>0</v>
      </c>
      <c r="L540" s="59">
        <v>0</v>
      </c>
      <c r="M540" s="59">
        <v>108</v>
      </c>
      <c r="N540" s="59">
        <f t="shared" si="144"/>
        <v>108</v>
      </c>
      <c r="O540" s="15">
        <f t="shared" si="145"/>
        <v>1</v>
      </c>
      <c r="P540" s="87">
        <f t="shared" si="146"/>
        <v>0</v>
      </c>
      <c r="Q540" s="110">
        <v>0</v>
      </c>
      <c r="R540" s="59">
        <v>0</v>
      </c>
      <c r="S540" s="14">
        <v>146</v>
      </c>
      <c r="T540" s="59">
        <v>1</v>
      </c>
      <c r="U540" s="15">
        <f t="shared" si="139"/>
        <v>147</v>
      </c>
      <c r="V540" s="14">
        <v>0</v>
      </c>
      <c r="W540" s="15">
        <f t="shared" si="147"/>
        <v>0</v>
      </c>
      <c r="X540" s="14">
        <v>0</v>
      </c>
      <c r="Y540" s="75">
        <v>0</v>
      </c>
      <c r="Z540" s="87">
        <f t="shared" si="148"/>
        <v>0</v>
      </c>
      <c r="AA540" s="14">
        <f t="shared" si="149"/>
        <v>0</v>
      </c>
      <c r="AB540" s="75">
        <v>0</v>
      </c>
      <c r="AC540" s="75">
        <v>0</v>
      </c>
      <c r="AD540" s="59">
        <f t="shared" si="150"/>
        <v>0</v>
      </c>
      <c r="AE540" s="73">
        <v>0</v>
      </c>
      <c r="AF540" s="73">
        <v>0</v>
      </c>
      <c r="AG540" s="15">
        <f t="shared" si="151"/>
        <v>0</v>
      </c>
      <c r="AH540" s="16">
        <f t="shared" si="152"/>
        <v>0</v>
      </c>
      <c r="AI540" s="17">
        <f t="shared" si="153"/>
        <v>254</v>
      </c>
      <c r="AJ540" s="12">
        <f>VLOOKUP(A540,'PreK Proxy - Sept. 2024'!$A$2:$I$674,9,FALSE)</f>
        <v>342</v>
      </c>
      <c r="AK540" s="18">
        <f t="shared" si="154"/>
        <v>0.74269005847953218</v>
      </c>
    </row>
    <row r="541" spans="1:37" x14ac:dyDescent="0.35">
      <c r="A541" s="11" t="s">
        <v>1087</v>
      </c>
      <c r="B541" s="12" t="s">
        <v>1088</v>
      </c>
      <c r="C541" s="54" t="s">
        <v>1416</v>
      </c>
      <c r="D541" s="54" t="s">
        <v>545</v>
      </c>
      <c r="E541" s="66">
        <f t="shared" si="140"/>
        <v>99</v>
      </c>
      <c r="F541" s="13">
        <f t="shared" si="141"/>
        <v>99</v>
      </c>
      <c r="G541" s="67">
        <f t="shared" si="142"/>
        <v>0</v>
      </c>
      <c r="H541" s="64">
        <f t="shared" si="138"/>
        <v>46</v>
      </c>
      <c r="I541" s="80">
        <v>0</v>
      </c>
      <c r="J541" s="80">
        <v>0</v>
      </c>
      <c r="K541" s="59">
        <f t="shared" si="143"/>
        <v>0</v>
      </c>
      <c r="L541" s="59">
        <v>0</v>
      </c>
      <c r="M541" s="59">
        <v>46</v>
      </c>
      <c r="N541" s="59">
        <f t="shared" si="144"/>
        <v>46</v>
      </c>
      <c r="O541" s="15">
        <f t="shared" si="145"/>
        <v>0</v>
      </c>
      <c r="P541" s="87">
        <f t="shared" si="146"/>
        <v>53</v>
      </c>
      <c r="Q541" s="110">
        <v>0</v>
      </c>
      <c r="R541" s="59">
        <v>53</v>
      </c>
      <c r="S541" s="14">
        <v>0</v>
      </c>
      <c r="T541" s="59">
        <v>0</v>
      </c>
      <c r="U541" s="15">
        <f t="shared" si="139"/>
        <v>0</v>
      </c>
      <c r="V541" s="14">
        <v>0</v>
      </c>
      <c r="W541" s="15">
        <f t="shared" si="147"/>
        <v>0</v>
      </c>
      <c r="X541" s="14">
        <v>0</v>
      </c>
      <c r="Y541" s="75">
        <v>0</v>
      </c>
      <c r="Z541" s="87">
        <f t="shared" si="148"/>
        <v>0</v>
      </c>
      <c r="AA541" s="14">
        <f t="shared" si="149"/>
        <v>0</v>
      </c>
      <c r="AB541" s="75">
        <v>0</v>
      </c>
      <c r="AC541" s="75">
        <v>0</v>
      </c>
      <c r="AD541" s="59">
        <f t="shared" si="150"/>
        <v>0</v>
      </c>
      <c r="AE541" s="73">
        <v>0</v>
      </c>
      <c r="AF541" s="73">
        <v>0</v>
      </c>
      <c r="AG541" s="15">
        <f t="shared" si="151"/>
        <v>0</v>
      </c>
      <c r="AH541" s="16">
        <f t="shared" si="152"/>
        <v>0</v>
      </c>
      <c r="AI541" s="17">
        <f t="shared" si="153"/>
        <v>99</v>
      </c>
      <c r="AJ541" s="12">
        <f>VLOOKUP(A541,'PreK Proxy - Sept. 2024'!$A$2:$I$674,9,FALSE)</f>
        <v>135</v>
      </c>
      <c r="AK541" s="18">
        <f t="shared" si="154"/>
        <v>0.73333333333333328</v>
      </c>
    </row>
    <row r="542" spans="1:37" x14ac:dyDescent="0.35">
      <c r="A542" s="11" t="s">
        <v>1089</v>
      </c>
      <c r="B542" s="12" t="s">
        <v>1090</v>
      </c>
      <c r="C542" s="54" t="s">
        <v>1416</v>
      </c>
      <c r="D542" s="54" t="s">
        <v>545</v>
      </c>
      <c r="E542" s="66">
        <f t="shared" si="140"/>
        <v>178</v>
      </c>
      <c r="F542" s="13">
        <f t="shared" si="141"/>
        <v>176</v>
      </c>
      <c r="G542" s="67">
        <f t="shared" si="142"/>
        <v>2</v>
      </c>
      <c r="H542" s="64">
        <f t="shared" si="138"/>
        <v>102</v>
      </c>
      <c r="I542" s="80">
        <v>0</v>
      </c>
      <c r="J542" s="80">
        <v>1</v>
      </c>
      <c r="K542" s="59">
        <f t="shared" si="143"/>
        <v>1</v>
      </c>
      <c r="L542" s="59">
        <v>0</v>
      </c>
      <c r="M542" s="59">
        <v>101</v>
      </c>
      <c r="N542" s="59">
        <f t="shared" si="144"/>
        <v>101</v>
      </c>
      <c r="O542" s="15">
        <f t="shared" si="145"/>
        <v>0</v>
      </c>
      <c r="P542" s="87">
        <f t="shared" si="146"/>
        <v>76</v>
      </c>
      <c r="Q542" s="110">
        <v>1</v>
      </c>
      <c r="R542" s="59">
        <v>75</v>
      </c>
      <c r="S542" s="14">
        <v>0</v>
      </c>
      <c r="T542" s="59">
        <v>0</v>
      </c>
      <c r="U542" s="15">
        <f t="shared" si="139"/>
        <v>0</v>
      </c>
      <c r="V542" s="14">
        <v>0</v>
      </c>
      <c r="W542" s="15">
        <f t="shared" si="147"/>
        <v>0</v>
      </c>
      <c r="X542" s="14">
        <v>0</v>
      </c>
      <c r="Y542" s="75">
        <v>0</v>
      </c>
      <c r="Z542" s="87">
        <f t="shared" si="148"/>
        <v>0</v>
      </c>
      <c r="AA542" s="14">
        <f t="shared" si="149"/>
        <v>0</v>
      </c>
      <c r="AB542" s="75">
        <v>0</v>
      </c>
      <c r="AC542" s="75">
        <v>0</v>
      </c>
      <c r="AD542" s="59">
        <f t="shared" si="150"/>
        <v>0</v>
      </c>
      <c r="AE542" s="73">
        <v>0</v>
      </c>
      <c r="AF542" s="73">
        <v>0</v>
      </c>
      <c r="AG542" s="15">
        <f t="shared" si="151"/>
        <v>0</v>
      </c>
      <c r="AH542" s="16">
        <f t="shared" si="152"/>
        <v>2</v>
      </c>
      <c r="AI542" s="17">
        <f t="shared" si="153"/>
        <v>176</v>
      </c>
      <c r="AJ542" s="12">
        <f>VLOOKUP(A542,'PreK Proxy - Sept. 2024'!$A$2:$I$674,9,FALSE)</f>
        <v>213</v>
      </c>
      <c r="AK542" s="18">
        <f t="shared" si="154"/>
        <v>0.83568075117370888</v>
      </c>
    </row>
    <row r="543" spans="1:37" x14ac:dyDescent="0.35">
      <c r="A543" s="11" t="s">
        <v>1091</v>
      </c>
      <c r="B543" s="12" t="s">
        <v>1092</v>
      </c>
      <c r="C543" s="54" t="s">
        <v>1416</v>
      </c>
      <c r="D543" s="54" t="s">
        <v>545</v>
      </c>
      <c r="E543" s="66">
        <f t="shared" si="140"/>
        <v>124</v>
      </c>
      <c r="F543" s="13">
        <f t="shared" si="141"/>
        <v>124</v>
      </c>
      <c r="G543" s="67">
        <f t="shared" si="142"/>
        <v>0</v>
      </c>
      <c r="H543" s="64">
        <f t="shared" si="138"/>
        <v>78</v>
      </c>
      <c r="I543" s="80">
        <v>0</v>
      </c>
      <c r="J543" s="80">
        <v>0</v>
      </c>
      <c r="K543" s="59">
        <f t="shared" si="143"/>
        <v>0</v>
      </c>
      <c r="L543" s="59">
        <v>0</v>
      </c>
      <c r="M543" s="59">
        <v>78</v>
      </c>
      <c r="N543" s="59">
        <f t="shared" si="144"/>
        <v>78</v>
      </c>
      <c r="O543" s="15">
        <f t="shared" si="145"/>
        <v>0</v>
      </c>
      <c r="P543" s="87">
        <f t="shared" si="146"/>
        <v>46</v>
      </c>
      <c r="Q543" s="110">
        <v>0</v>
      </c>
      <c r="R543" s="59">
        <v>46</v>
      </c>
      <c r="S543" s="14">
        <v>0</v>
      </c>
      <c r="T543" s="59">
        <v>0</v>
      </c>
      <c r="U543" s="15">
        <f t="shared" si="139"/>
        <v>0</v>
      </c>
      <c r="V543" s="14">
        <v>0</v>
      </c>
      <c r="W543" s="15">
        <f t="shared" si="147"/>
        <v>0</v>
      </c>
      <c r="X543" s="14">
        <v>0</v>
      </c>
      <c r="Y543" s="75">
        <v>0</v>
      </c>
      <c r="Z543" s="87">
        <f t="shared" si="148"/>
        <v>0</v>
      </c>
      <c r="AA543" s="14">
        <f t="shared" si="149"/>
        <v>0</v>
      </c>
      <c r="AB543" s="75">
        <v>0</v>
      </c>
      <c r="AC543" s="75">
        <v>0</v>
      </c>
      <c r="AD543" s="59">
        <f t="shared" si="150"/>
        <v>0</v>
      </c>
      <c r="AE543" s="73">
        <v>0</v>
      </c>
      <c r="AF543" s="73">
        <v>0</v>
      </c>
      <c r="AG543" s="15">
        <f t="shared" si="151"/>
        <v>0</v>
      </c>
      <c r="AH543" s="16">
        <f t="shared" si="152"/>
        <v>0</v>
      </c>
      <c r="AI543" s="17">
        <f t="shared" si="153"/>
        <v>124</v>
      </c>
      <c r="AJ543" s="12">
        <f>VLOOKUP(A543,'PreK Proxy - Sept. 2024'!$A$2:$I$674,9,FALSE)</f>
        <v>156</v>
      </c>
      <c r="AK543" s="18">
        <f t="shared" si="154"/>
        <v>0.79487179487179482</v>
      </c>
    </row>
    <row r="544" spans="1:37" x14ac:dyDescent="0.35">
      <c r="A544" s="11" t="s">
        <v>1093</v>
      </c>
      <c r="B544" s="12" t="s">
        <v>1094</v>
      </c>
      <c r="C544" s="54" t="s">
        <v>1416</v>
      </c>
      <c r="D544" s="54" t="s">
        <v>545</v>
      </c>
      <c r="E544" s="66">
        <f t="shared" si="140"/>
        <v>72</v>
      </c>
      <c r="F544" s="13">
        <f t="shared" si="141"/>
        <v>72</v>
      </c>
      <c r="G544" s="67">
        <f t="shared" si="142"/>
        <v>0</v>
      </c>
      <c r="H544" s="64">
        <f t="shared" si="138"/>
        <v>28</v>
      </c>
      <c r="I544" s="80">
        <v>0</v>
      </c>
      <c r="J544" s="80">
        <v>0</v>
      </c>
      <c r="K544" s="59">
        <f t="shared" si="143"/>
        <v>0</v>
      </c>
      <c r="L544" s="59">
        <v>0</v>
      </c>
      <c r="M544" s="59">
        <v>28</v>
      </c>
      <c r="N544" s="59">
        <f t="shared" si="144"/>
        <v>28</v>
      </c>
      <c r="O544" s="15">
        <f t="shared" si="145"/>
        <v>0</v>
      </c>
      <c r="P544" s="87">
        <f t="shared" si="146"/>
        <v>44</v>
      </c>
      <c r="Q544" s="110">
        <v>0</v>
      </c>
      <c r="R544" s="59">
        <v>44</v>
      </c>
      <c r="S544" s="14">
        <v>0</v>
      </c>
      <c r="T544" s="59">
        <v>0</v>
      </c>
      <c r="U544" s="15">
        <f t="shared" si="139"/>
        <v>0</v>
      </c>
      <c r="V544" s="14">
        <v>0</v>
      </c>
      <c r="W544" s="15">
        <f t="shared" si="147"/>
        <v>0</v>
      </c>
      <c r="X544" s="14">
        <v>0</v>
      </c>
      <c r="Y544" s="75">
        <v>0</v>
      </c>
      <c r="Z544" s="87">
        <f t="shared" si="148"/>
        <v>0</v>
      </c>
      <c r="AA544" s="14">
        <f t="shared" si="149"/>
        <v>0</v>
      </c>
      <c r="AB544" s="75">
        <v>0</v>
      </c>
      <c r="AC544" s="75">
        <v>0</v>
      </c>
      <c r="AD544" s="59">
        <f t="shared" si="150"/>
        <v>0</v>
      </c>
      <c r="AE544" s="73">
        <v>0</v>
      </c>
      <c r="AF544" s="73">
        <v>0</v>
      </c>
      <c r="AG544" s="15">
        <f t="shared" si="151"/>
        <v>0</v>
      </c>
      <c r="AH544" s="16">
        <f t="shared" si="152"/>
        <v>0</v>
      </c>
      <c r="AI544" s="17">
        <f t="shared" si="153"/>
        <v>72</v>
      </c>
      <c r="AJ544" s="12">
        <f>VLOOKUP(A544,'PreK Proxy - Sept. 2024'!$A$2:$I$674,9,FALSE)</f>
        <v>111</v>
      </c>
      <c r="AK544" s="18">
        <f t="shared" si="154"/>
        <v>0.64864864864864868</v>
      </c>
    </row>
    <row r="545" spans="1:37" x14ac:dyDescent="0.35">
      <c r="A545" s="11" t="s">
        <v>1095</v>
      </c>
      <c r="B545" s="12" t="s">
        <v>1096</v>
      </c>
      <c r="C545" s="54" t="s">
        <v>1416</v>
      </c>
      <c r="D545" s="54" t="s">
        <v>545</v>
      </c>
      <c r="E545" s="66">
        <f t="shared" si="140"/>
        <v>138</v>
      </c>
      <c r="F545" s="13">
        <f t="shared" si="141"/>
        <v>138</v>
      </c>
      <c r="G545" s="67">
        <f t="shared" si="142"/>
        <v>0</v>
      </c>
      <c r="H545" s="64">
        <f t="shared" si="138"/>
        <v>72</v>
      </c>
      <c r="I545" s="80">
        <v>0</v>
      </c>
      <c r="J545" s="80">
        <v>0</v>
      </c>
      <c r="K545" s="59">
        <f t="shared" si="143"/>
        <v>0</v>
      </c>
      <c r="L545" s="59">
        <v>0</v>
      </c>
      <c r="M545" s="59">
        <v>72</v>
      </c>
      <c r="N545" s="59">
        <f t="shared" si="144"/>
        <v>72</v>
      </c>
      <c r="O545" s="15">
        <f t="shared" si="145"/>
        <v>0</v>
      </c>
      <c r="P545" s="87">
        <f t="shared" si="146"/>
        <v>66</v>
      </c>
      <c r="Q545" s="110">
        <v>0</v>
      </c>
      <c r="R545" s="59">
        <v>66</v>
      </c>
      <c r="S545" s="14">
        <v>0</v>
      </c>
      <c r="T545" s="59">
        <v>0</v>
      </c>
      <c r="U545" s="15">
        <f t="shared" si="139"/>
        <v>0</v>
      </c>
      <c r="V545" s="14">
        <v>0</v>
      </c>
      <c r="W545" s="15">
        <f t="shared" si="147"/>
        <v>0</v>
      </c>
      <c r="X545" s="14">
        <v>0</v>
      </c>
      <c r="Y545" s="75">
        <v>0</v>
      </c>
      <c r="Z545" s="87">
        <f t="shared" si="148"/>
        <v>0</v>
      </c>
      <c r="AA545" s="14">
        <f t="shared" si="149"/>
        <v>0</v>
      </c>
      <c r="AB545" s="75">
        <v>0</v>
      </c>
      <c r="AC545" s="75">
        <v>0</v>
      </c>
      <c r="AD545" s="59">
        <f t="shared" si="150"/>
        <v>0</v>
      </c>
      <c r="AE545" s="73">
        <v>0</v>
      </c>
      <c r="AF545" s="73">
        <v>0</v>
      </c>
      <c r="AG545" s="15">
        <f t="shared" si="151"/>
        <v>0</v>
      </c>
      <c r="AH545" s="16">
        <f t="shared" si="152"/>
        <v>0</v>
      </c>
      <c r="AI545" s="17">
        <f t="shared" si="153"/>
        <v>138</v>
      </c>
      <c r="AJ545" s="12">
        <f>VLOOKUP(A545,'PreK Proxy - Sept. 2024'!$A$2:$I$674,9,FALSE)</f>
        <v>196</v>
      </c>
      <c r="AK545" s="18">
        <f t="shared" si="154"/>
        <v>0.70408163265306123</v>
      </c>
    </row>
    <row r="546" spans="1:37" x14ac:dyDescent="0.35">
      <c r="A546" s="11" t="s">
        <v>1097</v>
      </c>
      <c r="B546" s="12" t="s">
        <v>1098</v>
      </c>
      <c r="C546" s="54" t="s">
        <v>1416</v>
      </c>
      <c r="D546" s="54" t="s">
        <v>545</v>
      </c>
      <c r="E546" s="66">
        <f t="shared" si="140"/>
        <v>191</v>
      </c>
      <c r="F546" s="13">
        <f t="shared" si="141"/>
        <v>189</v>
      </c>
      <c r="G546" s="67">
        <f t="shared" si="142"/>
        <v>2</v>
      </c>
      <c r="H546" s="64">
        <f t="shared" si="138"/>
        <v>131</v>
      </c>
      <c r="I546" s="80">
        <v>0</v>
      </c>
      <c r="J546" s="80">
        <v>1</v>
      </c>
      <c r="K546" s="59">
        <f t="shared" si="143"/>
        <v>1</v>
      </c>
      <c r="L546" s="59">
        <v>0</v>
      </c>
      <c r="M546" s="59">
        <v>130</v>
      </c>
      <c r="N546" s="59">
        <f t="shared" si="144"/>
        <v>130</v>
      </c>
      <c r="O546" s="15">
        <f t="shared" si="145"/>
        <v>0</v>
      </c>
      <c r="P546" s="87">
        <f t="shared" si="146"/>
        <v>60</v>
      </c>
      <c r="Q546" s="110">
        <v>1</v>
      </c>
      <c r="R546" s="59">
        <v>59</v>
      </c>
      <c r="S546" s="14">
        <v>0</v>
      </c>
      <c r="T546" s="59">
        <v>0</v>
      </c>
      <c r="U546" s="15">
        <f t="shared" si="139"/>
        <v>0</v>
      </c>
      <c r="V546" s="14">
        <v>0</v>
      </c>
      <c r="W546" s="15">
        <f t="shared" si="147"/>
        <v>0</v>
      </c>
      <c r="X546" s="14">
        <v>0</v>
      </c>
      <c r="Y546" s="75">
        <v>0</v>
      </c>
      <c r="Z546" s="87">
        <f t="shared" si="148"/>
        <v>0</v>
      </c>
      <c r="AA546" s="14">
        <f t="shared" si="149"/>
        <v>0</v>
      </c>
      <c r="AB546" s="75">
        <v>0</v>
      </c>
      <c r="AC546" s="75">
        <v>0</v>
      </c>
      <c r="AD546" s="59">
        <f t="shared" si="150"/>
        <v>0</v>
      </c>
      <c r="AE546" s="73">
        <v>0</v>
      </c>
      <c r="AF546" s="73">
        <v>0</v>
      </c>
      <c r="AG546" s="15">
        <f t="shared" si="151"/>
        <v>0</v>
      </c>
      <c r="AH546" s="16">
        <f t="shared" si="152"/>
        <v>2</v>
      </c>
      <c r="AI546" s="17">
        <f t="shared" si="153"/>
        <v>189</v>
      </c>
      <c r="AJ546" s="12">
        <f>VLOOKUP(A546,'PreK Proxy - Sept. 2024'!$A$2:$I$674,9,FALSE)</f>
        <v>294</v>
      </c>
      <c r="AK546" s="18">
        <f t="shared" si="154"/>
        <v>0.64965986394557829</v>
      </c>
    </row>
    <row r="547" spans="1:37" x14ac:dyDescent="0.35">
      <c r="A547" s="11" t="s">
        <v>1099</v>
      </c>
      <c r="B547" s="12" t="s">
        <v>1100</v>
      </c>
      <c r="C547" s="54" t="s">
        <v>1416</v>
      </c>
      <c r="D547" s="54" t="s">
        <v>545</v>
      </c>
      <c r="E547" s="66">
        <f t="shared" si="140"/>
        <v>222</v>
      </c>
      <c r="F547" s="13">
        <f t="shared" si="141"/>
        <v>222</v>
      </c>
      <c r="G547" s="67">
        <f t="shared" si="142"/>
        <v>0</v>
      </c>
      <c r="H547" s="64">
        <f t="shared" si="138"/>
        <v>159</v>
      </c>
      <c r="I547" s="80">
        <v>0</v>
      </c>
      <c r="J547" s="80">
        <v>0</v>
      </c>
      <c r="K547" s="59">
        <f t="shared" si="143"/>
        <v>0</v>
      </c>
      <c r="L547" s="59">
        <v>0</v>
      </c>
      <c r="M547" s="59">
        <v>159</v>
      </c>
      <c r="N547" s="59">
        <f t="shared" si="144"/>
        <v>159</v>
      </c>
      <c r="O547" s="15">
        <f t="shared" si="145"/>
        <v>0</v>
      </c>
      <c r="P547" s="87">
        <f t="shared" si="146"/>
        <v>63</v>
      </c>
      <c r="Q547" s="110">
        <v>0</v>
      </c>
      <c r="R547" s="59">
        <v>63</v>
      </c>
      <c r="S547" s="14">
        <v>0</v>
      </c>
      <c r="T547" s="59">
        <v>0</v>
      </c>
      <c r="U547" s="15">
        <f t="shared" si="139"/>
        <v>0</v>
      </c>
      <c r="V547" s="14">
        <v>0</v>
      </c>
      <c r="W547" s="15">
        <f t="shared" si="147"/>
        <v>0</v>
      </c>
      <c r="X547" s="14">
        <v>0</v>
      </c>
      <c r="Y547" s="75">
        <v>0</v>
      </c>
      <c r="Z547" s="87">
        <f t="shared" si="148"/>
        <v>0</v>
      </c>
      <c r="AA547" s="14">
        <f t="shared" si="149"/>
        <v>0</v>
      </c>
      <c r="AB547" s="75">
        <v>0</v>
      </c>
      <c r="AC547" s="75">
        <v>0</v>
      </c>
      <c r="AD547" s="59">
        <f t="shared" si="150"/>
        <v>0</v>
      </c>
      <c r="AE547" s="73">
        <v>0</v>
      </c>
      <c r="AF547" s="73">
        <v>0</v>
      </c>
      <c r="AG547" s="15">
        <f t="shared" si="151"/>
        <v>0</v>
      </c>
      <c r="AH547" s="16">
        <f t="shared" si="152"/>
        <v>0</v>
      </c>
      <c r="AI547" s="17">
        <f t="shared" si="153"/>
        <v>222</v>
      </c>
      <c r="AJ547" s="12">
        <f>VLOOKUP(A547,'PreK Proxy - Sept. 2024'!$A$2:$I$674,9,FALSE)</f>
        <v>225</v>
      </c>
      <c r="AK547" s="18">
        <f t="shared" si="154"/>
        <v>0.98666666666666669</v>
      </c>
    </row>
    <row r="548" spans="1:37" x14ac:dyDescent="0.35">
      <c r="A548" s="11" t="s">
        <v>1101</v>
      </c>
      <c r="B548" s="12" t="s">
        <v>1102</v>
      </c>
      <c r="C548" s="54" t="s">
        <v>1416</v>
      </c>
      <c r="D548" s="54" t="s">
        <v>545</v>
      </c>
      <c r="E548" s="66">
        <f t="shared" si="140"/>
        <v>697</v>
      </c>
      <c r="F548" s="13">
        <f t="shared" si="141"/>
        <v>697</v>
      </c>
      <c r="G548" s="67">
        <f t="shared" si="142"/>
        <v>0</v>
      </c>
      <c r="H548" s="64">
        <f t="shared" si="138"/>
        <v>571</v>
      </c>
      <c r="I548" s="80">
        <v>0</v>
      </c>
      <c r="J548" s="80">
        <v>0</v>
      </c>
      <c r="K548" s="59">
        <f t="shared" si="143"/>
        <v>0</v>
      </c>
      <c r="L548" s="59">
        <v>0</v>
      </c>
      <c r="M548" s="59">
        <v>571</v>
      </c>
      <c r="N548" s="59">
        <f t="shared" si="144"/>
        <v>571</v>
      </c>
      <c r="O548" s="15">
        <f t="shared" si="145"/>
        <v>0</v>
      </c>
      <c r="P548" s="87">
        <f t="shared" si="146"/>
        <v>0</v>
      </c>
      <c r="Q548" s="110">
        <v>0</v>
      </c>
      <c r="R548" s="59">
        <v>0</v>
      </c>
      <c r="S548" s="14">
        <v>126</v>
      </c>
      <c r="T548" s="59">
        <v>0</v>
      </c>
      <c r="U548" s="15">
        <f t="shared" si="139"/>
        <v>126</v>
      </c>
      <c r="V548" s="14">
        <v>0</v>
      </c>
      <c r="W548" s="15">
        <f t="shared" si="147"/>
        <v>0</v>
      </c>
      <c r="X548" s="14">
        <v>0</v>
      </c>
      <c r="Y548" s="75">
        <v>0</v>
      </c>
      <c r="Z548" s="87">
        <f t="shared" si="148"/>
        <v>0</v>
      </c>
      <c r="AA548" s="14">
        <f t="shared" si="149"/>
        <v>0</v>
      </c>
      <c r="AB548" s="75">
        <v>0</v>
      </c>
      <c r="AC548" s="75">
        <v>0</v>
      </c>
      <c r="AD548" s="59">
        <f t="shared" si="150"/>
        <v>0</v>
      </c>
      <c r="AE548" s="73">
        <v>0</v>
      </c>
      <c r="AF548" s="73">
        <v>0</v>
      </c>
      <c r="AG548" s="15">
        <f t="shared" si="151"/>
        <v>0</v>
      </c>
      <c r="AH548" s="16">
        <f t="shared" si="152"/>
        <v>0</v>
      </c>
      <c r="AI548" s="17">
        <f t="shared" si="153"/>
        <v>697</v>
      </c>
      <c r="AJ548" s="12">
        <f>VLOOKUP(A548,'PreK Proxy - Sept. 2024'!$A$2:$I$674,9,FALSE)</f>
        <v>1010</v>
      </c>
      <c r="AK548" s="18">
        <f t="shared" si="154"/>
        <v>0.69009900990099005</v>
      </c>
    </row>
    <row r="549" spans="1:37" x14ac:dyDescent="0.35">
      <c r="A549" s="11" t="s">
        <v>1103</v>
      </c>
      <c r="B549" s="12" t="s">
        <v>1104</v>
      </c>
      <c r="C549" s="54" t="s">
        <v>1416</v>
      </c>
      <c r="D549" s="54" t="s">
        <v>545</v>
      </c>
      <c r="E549" s="66">
        <f t="shared" si="140"/>
        <v>260</v>
      </c>
      <c r="F549" s="13">
        <f t="shared" si="141"/>
        <v>260</v>
      </c>
      <c r="G549" s="67">
        <f t="shared" si="142"/>
        <v>0</v>
      </c>
      <c r="H549" s="64">
        <f t="shared" si="138"/>
        <v>260</v>
      </c>
      <c r="I549" s="80">
        <v>0</v>
      </c>
      <c r="J549" s="80">
        <v>0</v>
      </c>
      <c r="K549" s="59">
        <f t="shared" si="143"/>
        <v>0</v>
      </c>
      <c r="L549" s="59">
        <v>0</v>
      </c>
      <c r="M549" s="59">
        <v>260</v>
      </c>
      <c r="N549" s="59">
        <f t="shared" si="144"/>
        <v>260</v>
      </c>
      <c r="O549" s="15">
        <f t="shared" si="145"/>
        <v>0</v>
      </c>
      <c r="P549" s="87">
        <f t="shared" si="146"/>
        <v>0</v>
      </c>
      <c r="Q549" s="110">
        <v>0</v>
      </c>
      <c r="R549" s="59">
        <v>0</v>
      </c>
      <c r="S549" s="14">
        <v>0</v>
      </c>
      <c r="T549" s="59">
        <v>0</v>
      </c>
      <c r="U549" s="15">
        <f t="shared" si="139"/>
        <v>0</v>
      </c>
      <c r="V549" s="14">
        <v>0</v>
      </c>
      <c r="W549" s="15">
        <f t="shared" si="147"/>
        <v>0</v>
      </c>
      <c r="X549" s="14">
        <v>0</v>
      </c>
      <c r="Y549" s="75">
        <v>0</v>
      </c>
      <c r="Z549" s="87">
        <f t="shared" si="148"/>
        <v>0</v>
      </c>
      <c r="AA549" s="14">
        <f t="shared" si="149"/>
        <v>0</v>
      </c>
      <c r="AB549" s="75">
        <v>0</v>
      </c>
      <c r="AC549" s="75">
        <v>0</v>
      </c>
      <c r="AD549" s="59">
        <f t="shared" si="150"/>
        <v>0</v>
      </c>
      <c r="AE549" s="73">
        <v>0</v>
      </c>
      <c r="AF549" s="73">
        <v>0</v>
      </c>
      <c r="AG549" s="15">
        <f t="shared" si="151"/>
        <v>0</v>
      </c>
      <c r="AH549" s="16">
        <f t="shared" si="152"/>
        <v>0</v>
      </c>
      <c r="AI549" s="17">
        <f t="shared" si="153"/>
        <v>260</v>
      </c>
      <c r="AJ549" s="12">
        <f>VLOOKUP(A549,'PreK Proxy - Sept. 2024'!$A$2:$I$674,9,FALSE)</f>
        <v>458</v>
      </c>
      <c r="AK549" s="18">
        <f t="shared" si="154"/>
        <v>0.56768558951965065</v>
      </c>
    </row>
    <row r="550" spans="1:37" x14ac:dyDescent="0.35">
      <c r="A550" s="11" t="s">
        <v>1105</v>
      </c>
      <c r="B550" s="12" t="s">
        <v>1106</v>
      </c>
      <c r="C550" s="54" t="s">
        <v>1416</v>
      </c>
      <c r="D550" s="54" t="s">
        <v>545</v>
      </c>
      <c r="E550" s="66">
        <f t="shared" si="140"/>
        <v>0</v>
      </c>
      <c r="F550" s="13">
        <f t="shared" si="141"/>
        <v>0</v>
      </c>
      <c r="G550" s="67">
        <f t="shared" si="142"/>
        <v>0</v>
      </c>
      <c r="H550" s="64">
        <f t="shared" si="138"/>
        <v>0</v>
      </c>
      <c r="I550" s="80">
        <v>0</v>
      </c>
      <c r="J550" s="80">
        <v>0</v>
      </c>
      <c r="K550" s="59">
        <f t="shared" si="143"/>
        <v>0</v>
      </c>
      <c r="L550" s="59">
        <v>0</v>
      </c>
      <c r="M550" s="59">
        <v>0</v>
      </c>
      <c r="N550" s="59">
        <f t="shared" si="144"/>
        <v>0</v>
      </c>
      <c r="O550" s="15">
        <f t="shared" si="145"/>
        <v>0</v>
      </c>
      <c r="P550" s="87">
        <f t="shared" si="146"/>
        <v>0</v>
      </c>
      <c r="Q550" s="110">
        <v>0</v>
      </c>
      <c r="R550" s="59">
        <v>0</v>
      </c>
      <c r="S550" s="14">
        <v>0</v>
      </c>
      <c r="T550" s="59">
        <v>0</v>
      </c>
      <c r="U550" s="15">
        <f t="shared" si="139"/>
        <v>0</v>
      </c>
      <c r="V550" s="14">
        <v>0</v>
      </c>
      <c r="W550" s="15">
        <f t="shared" si="147"/>
        <v>0</v>
      </c>
      <c r="X550" s="14">
        <v>0</v>
      </c>
      <c r="Y550" s="75">
        <v>0</v>
      </c>
      <c r="Z550" s="87">
        <f t="shared" si="148"/>
        <v>0</v>
      </c>
      <c r="AA550" s="14">
        <f t="shared" si="149"/>
        <v>0</v>
      </c>
      <c r="AB550" s="75">
        <v>0</v>
      </c>
      <c r="AC550" s="75">
        <v>0</v>
      </c>
      <c r="AD550" s="59">
        <f t="shared" si="150"/>
        <v>0</v>
      </c>
      <c r="AE550" s="73">
        <v>0</v>
      </c>
      <c r="AF550" s="73">
        <v>0</v>
      </c>
      <c r="AG550" s="15">
        <f t="shared" si="151"/>
        <v>0</v>
      </c>
      <c r="AH550" s="16">
        <f t="shared" si="152"/>
        <v>0</v>
      </c>
      <c r="AI550" s="17">
        <f t="shared" si="153"/>
        <v>0</v>
      </c>
      <c r="AJ550" s="12">
        <f>VLOOKUP(A550,'PreK Proxy - Sept. 2024'!$A$2:$I$674,9,FALSE)</f>
        <v>3</v>
      </c>
      <c r="AK550" s="18">
        <f t="shared" si="154"/>
        <v>0</v>
      </c>
    </row>
    <row r="551" spans="1:37" x14ac:dyDescent="0.35">
      <c r="A551" s="11" t="s">
        <v>1107</v>
      </c>
      <c r="B551" s="12" t="s">
        <v>1108</v>
      </c>
      <c r="C551" s="54" t="s">
        <v>1416</v>
      </c>
      <c r="D551" s="54" t="s">
        <v>545</v>
      </c>
      <c r="E551" s="66">
        <f t="shared" si="140"/>
        <v>72</v>
      </c>
      <c r="F551" s="13">
        <f t="shared" si="141"/>
        <v>72</v>
      </c>
      <c r="G551" s="67">
        <f t="shared" si="142"/>
        <v>0</v>
      </c>
      <c r="H551" s="64">
        <f t="shared" si="138"/>
        <v>40</v>
      </c>
      <c r="I551" s="80">
        <v>0</v>
      </c>
      <c r="J551" s="80">
        <v>0</v>
      </c>
      <c r="K551" s="59">
        <f t="shared" si="143"/>
        <v>0</v>
      </c>
      <c r="L551" s="59">
        <v>0</v>
      </c>
      <c r="M551" s="59">
        <v>40</v>
      </c>
      <c r="N551" s="59">
        <f t="shared" si="144"/>
        <v>40</v>
      </c>
      <c r="O551" s="15">
        <f t="shared" si="145"/>
        <v>0</v>
      </c>
      <c r="P551" s="87">
        <f t="shared" si="146"/>
        <v>32</v>
      </c>
      <c r="Q551" s="110">
        <v>0</v>
      </c>
      <c r="R551" s="59">
        <v>32</v>
      </c>
      <c r="S551" s="14">
        <v>0</v>
      </c>
      <c r="T551" s="59">
        <v>0</v>
      </c>
      <c r="U551" s="15">
        <f t="shared" si="139"/>
        <v>0</v>
      </c>
      <c r="V551" s="14">
        <v>0</v>
      </c>
      <c r="W551" s="15">
        <f t="shared" si="147"/>
        <v>0</v>
      </c>
      <c r="X551" s="14">
        <v>0</v>
      </c>
      <c r="Y551" s="75">
        <v>0</v>
      </c>
      <c r="Z551" s="87">
        <f t="shared" si="148"/>
        <v>0</v>
      </c>
      <c r="AA551" s="14">
        <f t="shared" si="149"/>
        <v>0</v>
      </c>
      <c r="AB551" s="75">
        <v>0</v>
      </c>
      <c r="AC551" s="75">
        <v>0</v>
      </c>
      <c r="AD551" s="59">
        <f t="shared" si="150"/>
        <v>0</v>
      </c>
      <c r="AE551" s="73">
        <v>0</v>
      </c>
      <c r="AF551" s="73">
        <v>0</v>
      </c>
      <c r="AG551" s="15">
        <f t="shared" si="151"/>
        <v>0</v>
      </c>
      <c r="AH551" s="16">
        <f t="shared" si="152"/>
        <v>0</v>
      </c>
      <c r="AI551" s="17">
        <f t="shared" si="153"/>
        <v>72</v>
      </c>
      <c r="AJ551" s="12">
        <f>VLOOKUP(A551,'PreK Proxy - Sept. 2024'!$A$2:$I$674,9,FALSE)</f>
        <v>103</v>
      </c>
      <c r="AK551" s="18">
        <f t="shared" si="154"/>
        <v>0.69902912621359226</v>
      </c>
    </row>
    <row r="552" spans="1:37" x14ac:dyDescent="0.35">
      <c r="A552" s="11" t="s">
        <v>1109</v>
      </c>
      <c r="B552" s="12" t="s">
        <v>1110</v>
      </c>
      <c r="C552" s="54" t="s">
        <v>1416</v>
      </c>
      <c r="D552" s="54" t="s">
        <v>545</v>
      </c>
      <c r="E552" s="66">
        <f t="shared" si="140"/>
        <v>249</v>
      </c>
      <c r="F552" s="13">
        <f t="shared" si="141"/>
        <v>148</v>
      </c>
      <c r="G552" s="67">
        <f t="shared" si="142"/>
        <v>101</v>
      </c>
      <c r="H552" s="64">
        <f t="shared" si="138"/>
        <v>189</v>
      </c>
      <c r="I552" s="80">
        <v>0</v>
      </c>
      <c r="J552" s="80">
        <v>101</v>
      </c>
      <c r="K552" s="59">
        <f t="shared" si="143"/>
        <v>101</v>
      </c>
      <c r="L552" s="59">
        <v>0</v>
      </c>
      <c r="M552" s="59">
        <v>88</v>
      </c>
      <c r="N552" s="59">
        <f t="shared" si="144"/>
        <v>88</v>
      </c>
      <c r="O552" s="15">
        <f t="shared" si="145"/>
        <v>0</v>
      </c>
      <c r="P552" s="87">
        <f t="shared" si="146"/>
        <v>0</v>
      </c>
      <c r="Q552" s="110">
        <v>0</v>
      </c>
      <c r="R552" s="59">
        <v>0</v>
      </c>
      <c r="S552" s="14">
        <v>0</v>
      </c>
      <c r="T552" s="59">
        <v>0</v>
      </c>
      <c r="U552" s="15">
        <f t="shared" si="139"/>
        <v>0</v>
      </c>
      <c r="V552" s="14">
        <v>60</v>
      </c>
      <c r="W552" s="15">
        <f t="shared" si="147"/>
        <v>60</v>
      </c>
      <c r="X552" s="14">
        <v>0</v>
      </c>
      <c r="Y552" s="75">
        <v>0</v>
      </c>
      <c r="Z552" s="87">
        <f t="shared" si="148"/>
        <v>0</v>
      </c>
      <c r="AA552" s="14">
        <f t="shared" si="149"/>
        <v>0</v>
      </c>
      <c r="AB552" s="75">
        <v>0</v>
      </c>
      <c r="AC552" s="75">
        <v>0</v>
      </c>
      <c r="AD552" s="59">
        <f t="shared" si="150"/>
        <v>0</v>
      </c>
      <c r="AE552" s="73">
        <v>0</v>
      </c>
      <c r="AF552" s="73">
        <v>0</v>
      </c>
      <c r="AG552" s="15">
        <f t="shared" si="151"/>
        <v>0</v>
      </c>
      <c r="AH552" s="16">
        <f t="shared" si="152"/>
        <v>101</v>
      </c>
      <c r="AI552" s="17">
        <f t="shared" si="153"/>
        <v>148</v>
      </c>
      <c r="AJ552" s="12">
        <f>VLOOKUP(A552,'PreK Proxy - Sept. 2024'!$A$2:$I$674,9,FALSE)</f>
        <v>372</v>
      </c>
      <c r="AK552" s="18">
        <f t="shared" si="154"/>
        <v>0.66935483870967738</v>
      </c>
    </row>
    <row r="553" spans="1:37" x14ac:dyDescent="0.35">
      <c r="A553" s="11" t="s">
        <v>1111</v>
      </c>
      <c r="B553" s="12" t="s">
        <v>1112</v>
      </c>
      <c r="C553" s="54" t="s">
        <v>1416</v>
      </c>
      <c r="D553" s="54" t="s">
        <v>545</v>
      </c>
      <c r="E553" s="66">
        <f t="shared" si="140"/>
        <v>0</v>
      </c>
      <c r="F553" s="13">
        <f t="shared" si="141"/>
        <v>0</v>
      </c>
      <c r="G553" s="67">
        <f t="shared" si="142"/>
        <v>0</v>
      </c>
      <c r="H553" s="64">
        <f t="shared" si="138"/>
        <v>0</v>
      </c>
      <c r="I553" s="80">
        <v>0</v>
      </c>
      <c r="J553" s="80">
        <v>0</v>
      </c>
      <c r="K553" s="59">
        <f t="shared" si="143"/>
        <v>0</v>
      </c>
      <c r="L553" s="59">
        <v>0</v>
      </c>
      <c r="M553" s="59">
        <v>0</v>
      </c>
      <c r="N553" s="59">
        <f t="shared" si="144"/>
        <v>0</v>
      </c>
      <c r="O553" s="15">
        <f t="shared" si="145"/>
        <v>0</v>
      </c>
      <c r="P553" s="87">
        <f t="shared" si="146"/>
        <v>0</v>
      </c>
      <c r="Q553" s="110">
        <v>0</v>
      </c>
      <c r="R553" s="59">
        <v>0</v>
      </c>
      <c r="S553" s="14">
        <v>0</v>
      </c>
      <c r="T553" s="59">
        <v>0</v>
      </c>
      <c r="U553" s="15">
        <f t="shared" si="139"/>
        <v>0</v>
      </c>
      <c r="V553" s="14">
        <v>0</v>
      </c>
      <c r="W553" s="15">
        <f t="shared" si="147"/>
        <v>0</v>
      </c>
      <c r="X553" s="14">
        <v>0</v>
      </c>
      <c r="Y553" s="75">
        <v>0</v>
      </c>
      <c r="Z553" s="87">
        <f t="shared" si="148"/>
        <v>0</v>
      </c>
      <c r="AA553" s="14">
        <f t="shared" si="149"/>
        <v>0</v>
      </c>
      <c r="AB553" s="75">
        <v>0</v>
      </c>
      <c r="AC553" s="75">
        <v>0</v>
      </c>
      <c r="AD553" s="59">
        <f t="shared" si="150"/>
        <v>0</v>
      </c>
      <c r="AE553" s="73">
        <v>0</v>
      </c>
      <c r="AF553" s="73">
        <v>0</v>
      </c>
      <c r="AG553" s="15">
        <f t="shared" si="151"/>
        <v>0</v>
      </c>
      <c r="AH553" s="16">
        <f t="shared" si="152"/>
        <v>0</v>
      </c>
      <c r="AI553" s="17">
        <f t="shared" si="153"/>
        <v>0</v>
      </c>
      <c r="AJ553" s="12">
        <f>VLOOKUP(A553,'PreK Proxy - Sept. 2024'!$A$2:$I$674,9,FALSE)</f>
        <v>5</v>
      </c>
      <c r="AK553" s="18">
        <f t="shared" si="154"/>
        <v>0</v>
      </c>
    </row>
    <row r="554" spans="1:37" x14ac:dyDescent="0.35">
      <c r="A554" s="11" t="s">
        <v>1113</v>
      </c>
      <c r="B554" s="12" t="s">
        <v>1114</v>
      </c>
      <c r="C554" s="54" t="s">
        <v>1416</v>
      </c>
      <c r="D554" s="54" t="s">
        <v>545</v>
      </c>
      <c r="E554" s="66">
        <f t="shared" si="140"/>
        <v>271</v>
      </c>
      <c r="F554" s="13">
        <f t="shared" si="141"/>
        <v>271</v>
      </c>
      <c r="G554" s="67">
        <f t="shared" si="142"/>
        <v>0</v>
      </c>
      <c r="H554" s="64">
        <f t="shared" si="138"/>
        <v>100</v>
      </c>
      <c r="I554" s="80">
        <v>0</v>
      </c>
      <c r="J554" s="80">
        <v>0</v>
      </c>
      <c r="K554" s="59">
        <f t="shared" si="143"/>
        <v>0</v>
      </c>
      <c r="L554" s="59">
        <v>0</v>
      </c>
      <c r="M554" s="59">
        <v>100</v>
      </c>
      <c r="N554" s="59">
        <f t="shared" si="144"/>
        <v>100</v>
      </c>
      <c r="O554" s="15">
        <f t="shared" si="145"/>
        <v>0</v>
      </c>
      <c r="P554" s="87">
        <f t="shared" si="146"/>
        <v>171</v>
      </c>
      <c r="Q554" s="110">
        <v>0</v>
      </c>
      <c r="R554" s="59">
        <v>171</v>
      </c>
      <c r="S554" s="14">
        <v>0</v>
      </c>
      <c r="T554" s="59">
        <v>0</v>
      </c>
      <c r="U554" s="15">
        <f t="shared" si="139"/>
        <v>0</v>
      </c>
      <c r="V554" s="14">
        <v>0</v>
      </c>
      <c r="W554" s="15">
        <f t="shared" si="147"/>
        <v>0</v>
      </c>
      <c r="X554" s="14">
        <v>0</v>
      </c>
      <c r="Y554" s="75">
        <v>0</v>
      </c>
      <c r="Z554" s="87">
        <f t="shared" si="148"/>
        <v>0</v>
      </c>
      <c r="AA554" s="14">
        <f t="shared" si="149"/>
        <v>0</v>
      </c>
      <c r="AB554" s="75">
        <v>0</v>
      </c>
      <c r="AC554" s="75">
        <v>0</v>
      </c>
      <c r="AD554" s="59">
        <f t="shared" si="150"/>
        <v>0</v>
      </c>
      <c r="AE554" s="73">
        <v>0</v>
      </c>
      <c r="AF554" s="73">
        <v>0</v>
      </c>
      <c r="AG554" s="15">
        <f t="shared" si="151"/>
        <v>0</v>
      </c>
      <c r="AH554" s="16">
        <f t="shared" si="152"/>
        <v>0</v>
      </c>
      <c r="AI554" s="17">
        <f t="shared" si="153"/>
        <v>271</v>
      </c>
      <c r="AJ554" s="12">
        <f>VLOOKUP(A554,'PreK Proxy - Sept. 2024'!$A$2:$I$674,9,FALSE)</f>
        <v>467</v>
      </c>
      <c r="AK554" s="18">
        <f t="shared" si="154"/>
        <v>0.58029978586723774</v>
      </c>
    </row>
    <row r="555" spans="1:37" x14ac:dyDescent="0.35">
      <c r="A555" s="11" t="s">
        <v>1115</v>
      </c>
      <c r="B555" s="12" t="s">
        <v>1116</v>
      </c>
      <c r="C555" s="54" t="s">
        <v>1416</v>
      </c>
      <c r="D555" s="54" t="s">
        <v>545</v>
      </c>
      <c r="E555" s="66">
        <f t="shared" si="140"/>
        <v>107</v>
      </c>
      <c r="F555" s="13">
        <f t="shared" si="141"/>
        <v>107</v>
      </c>
      <c r="G555" s="67">
        <f t="shared" si="142"/>
        <v>0</v>
      </c>
      <c r="H555" s="64">
        <f t="shared" si="138"/>
        <v>56</v>
      </c>
      <c r="I555" s="80">
        <v>0</v>
      </c>
      <c r="J555" s="80">
        <v>0</v>
      </c>
      <c r="K555" s="59">
        <f t="shared" si="143"/>
        <v>0</v>
      </c>
      <c r="L555" s="59">
        <v>0</v>
      </c>
      <c r="M555" s="59">
        <v>56</v>
      </c>
      <c r="N555" s="59">
        <f t="shared" si="144"/>
        <v>56</v>
      </c>
      <c r="O555" s="15">
        <f t="shared" si="145"/>
        <v>0</v>
      </c>
      <c r="P555" s="87">
        <f t="shared" si="146"/>
        <v>51</v>
      </c>
      <c r="Q555" s="110">
        <v>0</v>
      </c>
      <c r="R555" s="59">
        <v>51</v>
      </c>
      <c r="S555" s="14">
        <v>0</v>
      </c>
      <c r="T555" s="59">
        <v>0</v>
      </c>
      <c r="U555" s="15">
        <f t="shared" si="139"/>
        <v>0</v>
      </c>
      <c r="V555" s="14">
        <v>0</v>
      </c>
      <c r="W555" s="15">
        <f t="shared" si="147"/>
        <v>0</v>
      </c>
      <c r="X555" s="14">
        <v>0</v>
      </c>
      <c r="Y555" s="75">
        <v>0</v>
      </c>
      <c r="Z555" s="87">
        <f t="shared" si="148"/>
        <v>0</v>
      </c>
      <c r="AA555" s="14">
        <f t="shared" si="149"/>
        <v>0</v>
      </c>
      <c r="AB555" s="75">
        <v>0</v>
      </c>
      <c r="AC555" s="75">
        <v>0</v>
      </c>
      <c r="AD555" s="59">
        <f t="shared" si="150"/>
        <v>0</v>
      </c>
      <c r="AE555" s="73">
        <v>0</v>
      </c>
      <c r="AF555" s="73">
        <v>0</v>
      </c>
      <c r="AG555" s="15">
        <f t="shared" si="151"/>
        <v>0</v>
      </c>
      <c r="AH555" s="16">
        <f t="shared" si="152"/>
        <v>0</v>
      </c>
      <c r="AI555" s="17">
        <f t="shared" si="153"/>
        <v>107</v>
      </c>
      <c r="AJ555" s="12">
        <f>VLOOKUP(A555,'PreK Proxy - Sept. 2024'!$A$2:$I$674,9,FALSE)</f>
        <v>144</v>
      </c>
      <c r="AK555" s="18">
        <f t="shared" si="154"/>
        <v>0.74305555555555558</v>
      </c>
    </row>
    <row r="556" spans="1:37" x14ac:dyDescent="0.35">
      <c r="A556" s="11" t="s">
        <v>1117</v>
      </c>
      <c r="B556" s="12" t="s">
        <v>1118</v>
      </c>
      <c r="C556" s="54" t="s">
        <v>1416</v>
      </c>
      <c r="D556" s="54" t="s">
        <v>545</v>
      </c>
      <c r="E556" s="66">
        <f t="shared" si="140"/>
        <v>13</v>
      </c>
      <c r="F556" s="13">
        <f t="shared" si="141"/>
        <v>13</v>
      </c>
      <c r="G556" s="67">
        <f t="shared" si="142"/>
        <v>0</v>
      </c>
      <c r="H556" s="64">
        <f t="shared" si="138"/>
        <v>13</v>
      </c>
      <c r="I556" s="80">
        <v>0</v>
      </c>
      <c r="J556" s="80">
        <v>0</v>
      </c>
      <c r="K556" s="59">
        <f t="shared" si="143"/>
        <v>0</v>
      </c>
      <c r="L556" s="59">
        <v>0</v>
      </c>
      <c r="M556" s="59">
        <v>13</v>
      </c>
      <c r="N556" s="59">
        <f t="shared" si="144"/>
        <v>13</v>
      </c>
      <c r="O556" s="15">
        <f t="shared" si="145"/>
        <v>0</v>
      </c>
      <c r="P556" s="87">
        <f t="shared" si="146"/>
        <v>0</v>
      </c>
      <c r="Q556" s="110">
        <v>0</v>
      </c>
      <c r="R556" s="59">
        <v>0</v>
      </c>
      <c r="S556" s="14">
        <v>0</v>
      </c>
      <c r="T556" s="59">
        <v>0</v>
      </c>
      <c r="U556" s="15">
        <f t="shared" si="139"/>
        <v>0</v>
      </c>
      <c r="V556" s="14">
        <v>0</v>
      </c>
      <c r="W556" s="15">
        <f t="shared" si="147"/>
        <v>0</v>
      </c>
      <c r="X556" s="14">
        <v>0</v>
      </c>
      <c r="Y556" s="75">
        <v>0</v>
      </c>
      <c r="Z556" s="87">
        <f t="shared" si="148"/>
        <v>0</v>
      </c>
      <c r="AA556" s="14">
        <f t="shared" si="149"/>
        <v>0</v>
      </c>
      <c r="AB556" s="75">
        <v>0</v>
      </c>
      <c r="AC556" s="75">
        <v>0</v>
      </c>
      <c r="AD556" s="59">
        <f t="shared" si="150"/>
        <v>0</v>
      </c>
      <c r="AE556" s="73">
        <v>0</v>
      </c>
      <c r="AF556" s="73">
        <v>0</v>
      </c>
      <c r="AG556" s="15">
        <f t="shared" si="151"/>
        <v>0</v>
      </c>
      <c r="AH556" s="16">
        <f t="shared" si="152"/>
        <v>0</v>
      </c>
      <c r="AI556" s="17">
        <f t="shared" si="153"/>
        <v>13</v>
      </c>
      <c r="AJ556" s="12">
        <f>VLOOKUP(A556,'PreK Proxy - Sept. 2024'!$A$2:$I$674,9,FALSE)</f>
        <v>24</v>
      </c>
      <c r="AK556" s="18">
        <f t="shared" si="154"/>
        <v>0.54166666666666663</v>
      </c>
    </row>
    <row r="557" spans="1:37" x14ac:dyDescent="0.35">
      <c r="A557" s="11" t="s">
        <v>1119</v>
      </c>
      <c r="B557" s="12" t="s">
        <v>1120</v>
      </c>
      <c r="C557" s="54" t="s">
        <v>1416</v>
      </c>
      <c r="D557" s="54" t="s">
        <v>545</v>
      </c>
      <c r="E557" s="66">
        <f t="shared" si="140"/>
        <v>22</v>
      </c>
      <c r="F557" s="13">
        <f t="shared" si="141"/>
        <v>22</v>
      </c>
      <c r="G557" s="67">
        <f t="shared" si="142"/>
        <v>0</v>
      </c>
      <c r="H557" s="64">
        <f t="shared" si="138"/>
        <v>22</v>
      </c>
      <c r="I557" s="80">
        <v>0</v>
      </c>
      <c r="J557" s="80">
        <v>0</v>
      </c>
      <c r="K557" s="59">
        <f t="shared" si="143"/>
        <v>0</v>
      </c>
      <c r="L557" s="59">
        <v>0</v>
      </c>
      <c r="M557" s="59">
        <v>22</v>
      </c>
      <c r="N557" s="59">
        <f t="shared" si="144"/>
        <v>22</v>
      </c>
      <c r="O557" s="15">
        <f t="shared" si="145"/>
        <v>0</v>
      </c>
      <c r="P557" s="87">
        <f t="shared" si="146"/>
        <v>0</v>
      </c>
      <c r="Q557" s="110">
        <v>0</v>
      </c>
      <c r="R557" s="59">
        <v>0</v>
      </c>
      <c r="S557" s="14">
        <v>0</v>
      </c>
      <c r="T557" s="59">
        <v>0</v>
      </c>
      <c r="U557" s="15">
        <f t="shared" si="139"/>
        <v>0</v>
      </c>
      <c r="V557" s="14">
        <v>0</v>
      </c>
      <c r="W557" s="15">
        <f t="shared" si="147"/>
        <v>0</v>
      </c>
      <c r="X557" s="14">
        <v>0</v>
      </c>
      <c r="Y557" s="75">
        <v>0</v>
      </c>
      <c r="Z557" s="87">
        <f t="shared" si="148"/>
        <v>0</v>
      </c>
      <c r="AA557" s="14">
        <f t="shared" si="149"/>
        <v>0</v>
      </c>
      <c r="AB557" s="75">
        <v>0</v>
      </c>
      <c r="AC557" s="75">
        <v>0</v>
      </c>
      <c r="AD557" s="59">
        <f t="shared" si="150"/>
        <v>0</v>
      </c>
      <c r="AE557" s="73">
        <v>0</v>
      </c>
      <c r="AF557" s="73">
        <v>0</v>
      </c>
      <c r="AG557" s="15">
        <f t="shared" si="151"/>
        <v>0</v>
      </c>
      <c r="AH557" s="16">
        <f t="shared" si="152"/>
        <v>0</v>
      </c>
      <c r="AI557" s="17">
        <f t="shared" si="153"/>
        <v>22</v>
      </c>
      <c r="AJ557" s="12">
        <f>VLOOKUP(A557,'PreK Proxy - Sept. 2024'!$A$2:$I$674,9,FALSE)</f>
        <v>37</v>
      </c>
      <c r="AK557" s="18">
        <f t="shared" si="154"/>
        <v>0.59459459459459463</v>
      </c>
    </row>
    <row r="558" spans="1:37" x14ac:dyDescent="0.35">
      <c r="A558" s="11" t="s">
        <v>1121</v>
      </c>
      <c r="B558" s="12" t="s">
        <v>1122</v>
      </c>
      <c r="C558" s="54" t="s">
        <v>1416</v>
      </c>
      <c r="D558" s="54" t="s">
        <v>545</v>
      </c>
      <c r="E558" s="66">
        <f t="shared" si="140"/>
        <v>0</v>
      </c>
      <c r="F558" s="13">
        <f t="shared" si="141"/>
        <v>0</v>
      </c>
      <c r="G558" s="67">
        <f t="shared" si="142"/>
        <v>0</v>
      </c>
      <c r="H558" s="64">
        <f t="shared" si="138"/>
        <v>0</v>
      </c>
      <c r="I558" s="80">
        <v>0</v>
      </c>
      <c r="J558" s="80">
        <v>0</v>
      </c>
      <c r="K558" s="59">
        <f t="shared" si="143"/>
        <v>0</v>
      </c>
      <c r="L558" s="59">
        <v>0</v>
      </c>
      <c r="M558" s="59">
        <v>0</v>
      </c>
      <c r="N558" s="59">
        <f t="shared" si="144"/>
        <v>0</v>
      </c>
      <c r="O558" s="15">
        <f t="shared" si="145"/>
        <v>0</v>
      </c>
      <c r="P558" s="87">
        <f t="shared" si="146"/>
        <v>0</v>
      </c>
      <c r="Q558" s="110">
        <v>0</v>
      </c>
      <c r="R558" s="59">
        <v>0</v>
      </c>
      <c r="S558" s="14">
        <v>0</v>
      </c>
      <c r="T558" s="59">
        <v>0</v>
      </c>
      <c r="U558" s="15">
        <f t="shared" si="139"/>
        <v>0</v>
      </c>
      <c r="V558" s="14">
        <v>0</v>
      </c>
      <c r="W558" s="15">
        <f t="shared" si="147"/>
        <v>0</v>
      </c>
      <c r="X558" s="14">
        <v>0</v>
      </c>
      <c r="Y558" s="75">
        <v>0</v>
      </c>
      <c r="Z558" s="87">
        <f t="shared" si="148"/>
        <v>0</v>
      </c>
      <c r="AA558" s="14">
        <f t="shared" si="149"/>
        <v>0</v>
      </c>
      <c r="AB558" s="75">
        <v>0</v>
      </c>
      <c r="AC558" s="75">
        <v>0</v>
      </c>
      <c r="AD558" s="59">
        <f t="shared" si="150"/>
        <v>0</v>
      </c>
      <c r="AE558" s="73">
        <v>0</v>
      </c>
      <c r="AF558" s="73">
        <v>0</v>
      </c>
      <c r="AG558" s="15">
        <f t="shared" si="151"/>
        <v>0</v>
      </c>
      <c r="AH558" s="16">
        <f t="shared" si="152"/>
        <v>0</v>
      </c>
      <c r="AI558" s="17">
        <f t="shared" si="153"/>
        <v>0</v>
      </c>
      <c r="AJ558" s="12">
        <f>VLOOKUP(A558,'PreK Proxy - Sept. 2024'!$A$2:$I$674,9,FALSE)</f>
        <v>8</v>
      </c>
      <c r="AK558" s="18">
        <f t="shared" si="154"/>
        <v>0</v>
      </c>
    </row>
    <row r="559" spans="1:37" x14ac:dyDescent="0.35">
      <c r="A559" s="11" t="s">
        <v>1123</v>
      </c>
      <c r="B559" s="12" t="s">
        <v>1124</v>
      </c>
      <c r="C559" s="54" t="s">
        <v>1416</v>
      </c>
      <c r="D559" s="54" t="s">
        <v>545</v>
      </c>
      <c r="E559" s="66">
        <f t="shared" si="140"/>
        <v>31</v>
      </c>
      <c r="F559" s="13">
        <f t="shared" si="141"/>
        <v>0</v>
      </c>
      <c r="G559" s="67">
        <f t="shared" si="142"/>
        <v>31</v>
      </c>
      <c r="H559" s="64">
        <f t="shared" si="138"/>
        <v>31</v>
      </c>
      <c r="I559" s="80">
        <v>0</v>
      </c>
      <c r="J559" s="80">
        <v>31</v>
      </c>
      <c r="K559" s="59">
        <f t="shared" si="143"/>
        <v>31</v>
      </c>
      <c r="L559" s="59">
        <v>0</v>
      </c>
      <c r="M559" s="59">
        <v>0</v>
      </c>
      <c r="N559" s="59">
        <f t="shared" si="144"/>
        <v>0</v>
      </c>
      <c r="O559" s="15">
        <f t="shared" si="145"/>
        <v>0</v>
      </c>
      <c r="P559" s="87">
        <f t="shared" si="146"/>
        <v>0</v>
      </c>
      <c r="Q559" s="110">
        <v>0</v>
      </c>
      <c r="R559" s="59">
        <v>0</v>
      </c>
      <c r="S559" s="14">
        <v>0</v>
      </c>
      <c r="T559" s="59">
        <v>0</v>
      </c>
      <c r="U559" s="15">
        <f t="shared" si="139"/>
        <v>0</v>
      </c>
      <c r="V559" s="14">
        <v>0</v>
      </c>
      <c r="W559" s="15">
        <f t="shared" si="147"/>
        <v>0</v>
      </c>
      <c r="X559" s="14">
        <v>0</v>
      </c>
      <c r="Y559" s="75">
        <v>0</v>
      </c>
      <c r="Z559" s="87">
        <f t="shared" si="148"/>
        <v>0</v>
      </c>
      <c r="AA559" s="14">
        <f t="shared" si="149"/>
        <v>0</v>
      </c>
      <c r="AB559" s="75">
        <v>0</v>
      </c>
      <c r="AC559" s="75">
        <v>0</v>
      </c>
      <c r="AD559" s="59">
        <f t="shared" si="150"/>
        <v>0</v>
      </c>
      <c r="AE559" s="73">
        <v>0</v>
      </c>
      <c r="AF559" s="73">
        <v>0</v>
      </c>
      <c r="AG559" s="15">
        <f t="shared" si="151"/>
        <v>0</v>
      </c>
      <c r="AH559" s="16">
        <f t="shared" si="152"/>
        <v>31</v>
      </c>
      <c r="AI559" s="17">
        <f t="shared" si="153"/>
        <v>0</v>
      </c>
      <c r="AJ559" s="12">
        <f>VLOOKUP(A559,'PreK Proxy - Sept. 2024'!$A$2:$I$674,9,FALSE)</f>
        <v>102</v>
      </c>
      <c r="AK559" s="18">
        <f t="shared" si="154"/>
        <v>0.30392156862745096</v>
      </c>
    </row>
    <row r="560" spans="1:37" x14ac:dyDescent="0.35">
      <c r="A560" s="11" t="s">
        <v>1125</v>
      </c>
      <c r="B560" s="12" t="s">
        <v>1126</v>
      </c>
      <c r="C560" s="54" t="s">
        <v>1416</v>
      </c>
      <c r="D560" s="54" t="s">
        <v>545</v>
      </c>
      <c r="E560" s="66">
        <f t="shared" si="140"/>
        <v>53</v>
      </c>
      <c r="F560" s="13">
        <f t="shared" si="141"/>
        <v>53</v>
      </c>
      <c r="G560" s="67">
        <f t="shared" si="142"/>
        <v>0</v>
      </c>
      <c r="H560" s="64">
        <f t="shared" si="138"/>
        <v>53</v>
      </c>
      <c r="I560" s="80">
        <v>0</v>
      </c>
      <c r="J560" s="80">
        <v>0</v>
      </c>
      <c r="K560" s="59">
        <f t="shared" si="143"/>
        <v>0</v>
      </c>
      <c r="L560" s="59">
        <v>0</v>
      </c>
      <c r="M560" s="59">
        <v>53</v>
      </c>
      <c r="N560" s="59">
        <f t="shared" si="144"/>
        <v>53</v>
      </c>
      <c r="O560" s="15">
        <f t="shared" si="145"/>
        <v>0</v>
      </c>
      <c r="P560" s="87">
        <f t="shared" si="146"/>
        <v>0</v>
      </c>
      <c r="Q560" s="110">
        <v>0</v>
      </c>
      <c r="R560" s="59">
        <v>0</v>
      </c>
      <c r="S560" s="14">
        <v>0</v>
      </c>
      <c r="T560" s="59">
        <v>0</v>
      </c>
      <c r="U560" s="15">
        <f t="shared" si="139"/>
        <v>0</v>
      </c>
      <c r="V560" s="14">
        <v>0</v>
      </c>
      <c r="W560" s="15">
        <f t="shared" si="147"/>
        <v>0</v>
      </c>
      <c r="X560" s="14">
        <v>0</v>
      </c>
      <c r="Y560" s="75">
        <v>0</v>
      </c>
      <c r="Z560" s="87">
        <f t="shared" si="148"/>
        <v>0</v>
      </c>
      <c r="AA560" s="14">
        <f t="shared" si="149"/>
        <v>0</v>
      </c>
      <c r="AB560" s="75">
        <v>0</v>
      </c>
      <c r="AC560" s="75">
        <v>0</v>
      </c>
      <c r="AD560" s="59">
        <f t="shared" si="150"/>
        <v>0</v>
      </c>
      <c r="AE560" s="73">
        <v>0</v>
      </c>
      <c r="AF560" s="73">
        <v>0</v>
      </c>
      <c r="AG560" s="15">
        <f t="shared" si="151"/>
        <v>0</v>
      </c>
      <c r="AH560" s="16">
        <f t="shared" si="152"/>
        <v>0</v>
      </c>
      <c r="AI560" s="17">
        <f t="shared" si="153"/>
        <v>53</v>
      </c>
      <c r="AJ560" s="12">
        <f>VLOOKUP(A560,'PreK Proxy - Sept. 2024'!$A$2:$I$674,9,FALSE)</f>
        <v>79</v>
      </c>
      <c r="AK560" s="18">
        <f t="shared" si="154"/>
        <v>0.67088607594936711</v>
      </c>
    </row>
    <row r="561" spans="1:37" x14ac:dyDescent="0.35">
      <c r="A561" s="11" t="s">
        <v>1127</v>
      </c>
      <c r="B561" s="12" t="s">
        <v>1128</v>
      </c>
      <c r="C561" s="54" t="s">
        <v>1416</v>
      </c>
      <c r="D561" s="54" t="s">
        <v>545</v>
      </c>
      <c r="E561" s="66">
        <f t="shared" si="140"/>
        <v>0</v>
      </c>
      <c r="F561" s="13">
        <f t="shared" si="141"/>
        <v>0</v>
      </c>
      <c r="G561" s="67">
        <f t="shared" si="142"/>
        <v>0</v>
      </c>
      <c r="H561" s="64">
        <f t="shared" si="138"/>
        <v>0</v>
      </c>
      <c r="I561" s="80">
        <v>0</v>
      </c>
      <c r="J561" s="80">
        <v>0</v>
      </c>
      <c r="K561" s="59">
        <f t="shared" si="143"/>
        <v>0</v>
      </c>
      <c r="L561" s="59">
        <v>0</v>
      </c>
      <c r="M561" s="59">
        <v>0</v>
      </c>
      <c r="N561" s="59">
        <f t="shared" si="144"/>
        <v>0</v>
      </c>
      <c r="O561" s="15">
        <f t="shared" si="145"/>
        <v>0</v>
      </c>
      <c r="P561" s="87">
        <f t="shared" si="146"/>
        <v>0</v>
      </c>
      <c r="Q561" s="110">
        <v>0</v>
      </c>
      <c r="R561" s="59">
        <v>0</v>
      </c>
      <c r="S561" s="14">
        <v>0</v>
      </c>
      <c r="T561" s="59">
        <v>0</v>
      </c>
      <c r="U561" s="15">
        <f t="shared" si="139"/>
        <v>0</v>
      </c>
      <c r="V561" s="14">
        <v>0</v>
      </c>
      <c r="W561" s="15">
        <f t="shared" si="147"/>
        <v>0</v>
      </c>
      <c r="X561" s="14">
        <v>0</v>
      </c>
      <c r="Y561" s="75">
        <v>0</v>
      </c>
      <c r="Z561" s="87">
        <f t="shared" si="148"/>
        <v>0</v>
      </c>
      <c r="AA561" s="14">
        <f t="shared" si="149"/>
        <v>0</v>
      </c>
      <c r="AB561" s="75">
        <v>0</v>
      </c>
      <c r="AC561" s="75">
        <v>0</v>
      </c>
      <c r="AD561" s="59">
        <f t="shared" si="150"/>
        <v>0</v>
      </c>
      <c r="AE561" s="73">
        <v>0</v>
      </c>
      <c r="AF561" s="73">
        <v>0</v>
      </c>
      <c r="AG561" s="15">
        <f t="shared" si="151"/>
        <v>0</v>
      </c>
      <c r="AH561" s="16">
        <f t="shared" si="152"/>
        <v>0</v>
      </c>
      <c r="AI561" s="17">
        <f t="shared" si="153"/>
        <v>0</v>
      </c>
      <c r="AJ561" s="12">
        <f>VLOOKUP(A561,'PreK Proxy - Sept. 2024'!$A$2:$I$674,9,FALSE)</f>
        <v>28</v>
      </c>
      <c r="AK561" s="18">
        <f t="shared" si="154"/>
        <v>0</v>
      </c>
    </row>
    <row r="562" spans="1:37" x14ac:dyDescent="0.35">
      <c r="A562" s="11" t="s">
        <v>1129</v>
      </c>
      <c r="B562" s="12" t="s">
        <v>1130</v>
      </c>
      <c r="C562" s="54" t="s">
        <v>1416</v>
      </c>
      <c r="D562" s="54" t="s">
        <v>545</v>
      </c>
      <c r="E562" s="66">
        <f t="shared" si="140"/>
        <v>91</v>
      </c>
      <c r="F562" s="13">
        <f t="shared" si="141"/>
        <v>89</v>
      </c>
      <c r="G562" s="67">
        <f t="shared" si="142"/>
        <v>2</v>
      </c>
      <c r="H562" s="64">
        <f t="shared" si="138"/>
        <v>66</v>
      </c>
      <c r="I562" s="80">
        <v>0</v>
      </c>
      <c r="J562" s="80">
        <v>1</v>
      </c>
      <c r="K562" s="59">
        <f t="shared" si="143"/>
        <v>1</v>
      </c>
      <c r="L562" s="59">
        <v>0</v>
      </c>
      <c r="M562" s="59">
        <v>65</v>
      </c>
      <c r="N562" s="59">
        <f t="shared" si="144"/>
        <v>65</v>
      </c>
      <c r="O562" s="15">
        <f t="shared" si="145"/>
        <v>0</v>
      </c>
      <c r="P562" s="87">
        <f t="shared" si="146"/>
        <v>25</v>
      </c>
      <c r="Q562" s="110">
        <v>1</v>
      </c>
      <c r="R562" s="59">
        <v>24</v>
      </c>
      <c r="S562" s="14">
        <v>0</v>
      </c>
      <c r="T562" s="59">
        <v>0</v>
      </c>
      <c r="U562" s="15">
        <f t="shared" si="139"/>
        <v>0</v>
      </c>
      <c r="V562" s="14">
        <v>0</v>
      </c>
      <c r="W562" s="15">
        <f t="shared" si="147"/>
        <v>0</v>
      </c>
      <c r="X562" s="14">
        <v>0</v>
      </c>
      <c r="Y562" s="75">
        <v>0</v>
      </c>
      <c r="Z562" s="87">
        <f t="shared" si="148"/>
        <v>0</v>
      </c>
      <c r="AA562" s="14">
        <f t="shared" si="149"/>
        <v>0</v>
      </c>
      <c r="AB562" s="75">
        <v>0</v>
      </c>
      <c r="AC562" s="75">
        <v>0</v>
      </c>
      <c r="AD562" s="59">
        <f t="shared" si="150"/>
        <v>0</v>
      </c>
      <c r="AE562" s="73">
        <v>0</v>
      </c>
      <c r="AF562" s="73">
        <v>0</v>
      </c>
      <c r="AG562" s="15">
        <f t="shared" si="151"/>
        <v>0</v>
      </c>
      <c r="AH562" s="16">
        <f t="shared" si="152"/>
        <v>2</v>
      </c>
      <c r="AI562" s="17">
        <f t="shared" si="153"/>
        <v>89</v>
      </c>
      <c r="AJ562" s="12">
        <f>VLOOKUP(A562,'PreK Proxy - Sept. 2024'!$A$2:$I$674,9,FALSE)</f>
        <v>139</v>
      </c>
      <c r="AK562" s="18">
        <f t="shared" si="154"/>
        <v>0.65467625899280579</v>
      </c>
    </row>
    <row r="563" spans="1:37" x14ac:dyDescent="0.35">
      <c r="A563" s="11" t="s">
        <v>1131</v>
      </c>
      <c r="B563" s="12" t="s">
        <v>1132</v>
      </c>
      <c r="C563" s="54" t="s">
        <v>1416</v>
      </c>
      <c r="D563" s="54" t="s">
        <v>545</v>
      </c>
      <c r="E563" s="66">
        <f t="shared" si="140"/>
        <v>0</v>
      </c>
      <c r="F563" s="13">
        <f t="shared" si="141"/>
        <v>0</v>
      </c>
      <c r="G563" s="67">
        <f t="shared" si="142"/>
        <v>0</v>
      </c>
      <c r="H563" s="64">
        <f t="shared" si="138"/>
        <v>0</v>
      </c>
      <c r="I563" s="80">
        <v>0</v>
      </c>
      <c r="J563" s="80">
        <v>0</v>
      </c>
      <c r="K563" s="59">
        <f t="shared" si="143"/>
        <v>0</v>
      </c>
      <c r="L563" s="59">
        <v>0</v>
      </c>
      <c r="M563" s="59">
        <v>0</v>
      </c>
      <c r="N563" s="59">
        <f t="shared" si="144"/>
        <v>0</v>
      </c>
      <c r="O563" s="15">
        <f t="shared" si="145"/>
        <v>0</v>
      </c>
      <c r="P563" s="87">
        <f t="shared" si="146"/>
        <v>0</v>
      </c>
      <c r="Q563" s="110">
        <v>0</v>
      </c>
      <c r="R563" s="59">
        <v>0</v>
      </c>
      <c r="S563" s="14">
        <v>0</v>
      </c>
      <c r="T563" s="59">
        <v>0</v>
      </c>
      <c r="U563" s="15">
        <f t="shared" si="139"/>
        <v>0</v>
      </c>
      <c r="V563" s="14">
        <v>0</v>
      </c>
      <c r="W563" s="15">
        <f t="shared" si="147"/>
        <v>0</v>
      </c>
      <c r="X563" s="14">
        <v>0</v>
      </c>
      <c r="Y563" s="75">
        <v>0</v>
      </c>
      <c r="Z563" s="87">
        <f t="shared" si="148"/>
        <v>0</v>
      </c>
      <c r="AA563" s="14">
        <f t="shared" si="149"/>
        <v>0</v>
      </c>
      <c r="AB563" s="75">
        <v>0</v>
      </c>
      <c r="AC563" s="75">
        <v>0</v>
      </c>
      <c r="AD563" s="59">
        <f t="shared" si="150"/>
        <v>0</v>
      </c>
      <c r="AE563" s="73">
        <v>0</v>
      </c>
      <c r="AF563" s="73">
        <v>0</v>
      </c>
      <c r="AG563" s="15">
        <f t="shared" si="151"/>
        <v>0</v>
      </c>
      <c r="AH563" s="16">
        <f t="shared" si="152"/>
        <v>0</v>
      </c>
      <c r="AI563" s="17">
        <f t="shared" si="153"/>
        <v>0</v>
      </c>
      <c r="AJ563" s="12">
        <f>VLOOKUP(A563,'PreK Proxy - Sept. 2024'!$A$2:$I$674,9,FALSE)</f>
        <v>25</v>
      </c>
      <c r="AK563" s="18">
        <f t="shared" si="154"/>
        <v>0</v>
      </c>
    </row>
    <row r="564" spans="1:37" x14ac:dyDescent="0.35">
      <c r="A564" s="11" t="s">
        <v>1133</v>
      </c>
      <c r="B564" s="12" t="s">
        <v>1134</v>
      </c>
      <c r="C564" s="54" t="s">
        <v>1416</v>
      </c>
      <c r="D564" s="54" t="s">
        <v>545</v>
      </c>
      <c r="E564" s="66">
        <f t="shared" si="140"/>
        <v>34</v>
      </c>
      <c r="F564" s="13">
        <f t="shared" si="141"/>
        <v>34</v>
      </c>
      <c r="G564" s="67">
        <f t="shared" si="142"/>
        <v>0</v>
      </c>
      <c r="H564" s="64">
        <f t="shared" si="138"/>
        <v>14</v>
      </c>
      <c r="I564" s="80">
        <v>0</v>
      </c>
      <c r="J564" s="80">
        <v>0</v>
      </c>
      <c r="K564" s="59">
        <f t="shared" si="143"/>
        <v>0</v>
      </c>
      <c r="L564" s="59">
        <v>0</v>
      </c>
      <c r="M564" s="59">
        <v>14</v>
      </c>
      <c r="N564" s="59">
        <f t="shared" si="144"/>
        <v>14</v>
      </c>
      <c r="O564" s="15">
        <f t="shared" si="145"/>
        <v>0</v>
      </c>
      <c r="P564" s="87">
        <f t="shared" si="146"/>
        <v>20</v>
      </c>
      <c r="Q564" s="110">
        <v>0</v>
      </c>
      <c r="R564" s="59">
        <v>20</v>
      </c>
      <c r="S564" s="14">
        <v>0</v>
      </c>
      <c r="T564" s="59">
        <v>0</v>
      </c>
      <c r="U564" s="15">
        <f t="shared" si="139"/>
        <v>0</v>
      </c>
      <c r="V564" s="14">
        <v>0</v>
      </c>
      <c r="W564" s="15">
        <f t="shared" si="147"/>
        <v>0</v>
      </c>
      <c r="X564" s="14">
        <v>0</v>
      </c>
      <c r="Y564" s="75">
        <v>0</v>
      </c>
      <c r="Z564" s="87">
        <f t="shared" si="148"/>
        <v>0</v>
      </c>
      <c r="AA564" s="14">
        <f t="shared" si="149"/>
        <v>0</v>
      </c>
      <c r="AB564" s="75">
        <v>0</v>
      </c>
      <c r="AC564" s="75">
        <v>0</v>
      </c>
      <c r="AD564" s="59">
        <f t="shared" si="150"/>
        <v>0</v>
      </c>
      <c r="AE564" s="73">
        <v>0</v>
      </c>
      <c r="AF564" s="73">
        <v>0</v>
      </c>
      <c r="AG564" s="15">
        <f t="shared" si="151"/>
        <v>0</v>
      </c>
      <c r="AH564" s="16">
        <f t="shared" si="152"/>
        <v>0</v>
      </c>
      <c r="AI564" s="17">
        <f t="shared" si="153"/>
        <v>34</v>
      </c>
      <c r="AJ564" s="12">
        <f>VLOOKUP(A564,'PreK Proxy - Sept. 2024'!$A$2:$I$674,9,FALSE)</f>
        <v>45</v>
      </c>
      <c r="AK564" s="18">
        <f t="shared" si="154"/>
        <v>0.75555555555555554</v>
      </c>
    </row>
    <row r="565" spans="1:37" x14ac:dyDescent="0.35">
      <c r="A565" s="11" t="s">
        <v>1135</v>
      </c>
      <c r="B565" s="12" t="s">
        <v>1136</v>
      </c>
      <c r="C565" s="54" t="s">
        <v>1416</v>
      </c>
      <c r="D565" s="54" t="s">
        <v>545</v>
      </c>
      <c r="E565" s="66">
        <f t="shared" si="140"/>
        <v>0</v>
      </c>
      <c r="F565" s="13">
        <f t="shared" si="141"/>
        <v>0</v>
      </c>
      <c r="G565" s="67">
        <f t="shared" si="142"/>
        <v>0</v>
      </c>
      <c r="H565" s="64">
        <f t="shared" si="138"/>
        <v>0</v>
      </c>
      <c r="I565" s="80">
        <v>0</v>
      </c>
      <c r="J565" s="80">
        <v>0</v>
      </c>
      <c r="K565" s="59">
        <f t="shared" si="143"/>
        <v>0</v>
      </c>
      <c r="L565" s="59">
        <v>0</v>
      </c>
      <c r="M565" s="59">
        <v>0</v>
      </c>
      <c r="N565" s="59">
        <f t="shared" si="144"/>
        <v>0</v>
      </c>
      <c r="O565" s="15">
        <f t="shared" si="145"/>
        <v>0</v>
      </c>
      <c r="P565" s="87">
        <f t="shared" si="146"/>
        <v>0</v>
      </c>
      <c r="Q565" s="110">
        <v>0</v>
      </c>
      <c r="R565" s="59">
        <v>0</v>
      </c>
      <c r="S565" s="14">
        <v>0</v>
      </c>
      <c r="T565" s="59">
        <v>0</v>
      </c>
      <c r="U565" s="15">
        <f t="shared" si="139"/>
        <v>0</v>
      </c>
      <c r="V565" s="14">
        <v>0</v>
      </c>
      <c r="W565" s="15">
        <f t="shared" si="147"/>
        <v>0</v>
      </c>
      <c r="X565" s="14">
        <v>0</v>
      </c>
      <c r="Y565" s="75">
        <v>0</v>
      </c>
      <c r="Z565" s="87">
        <f t="shared" si="148"/>
        <v>0</v>
      </c>
      <c r="AA565" s="14">
        <f t="shared" si="149"/>
        <v>0</v>
      </c>
      <c r="AB565" s="75">
        <v>0</v>
      </c>
      <c r="AC565" s="75">
        <v>0</v>
      </c>
      <c r="AD565" s="59">
        <f t="shared" si="150"/>
        <v>0</v>
      </c>
      <c r="AE565" s="73">
        <v>0</v>
      </c>
      <c r="AF565" s="73">
        <v>0</v>
      </c>
      <c r="AG565" s="15">
        <f t="shared" si="151"/>
        <v>0</v>
      </c>
      <c r="AH565" s="16">
        <f t="shared" si="152"/>
        <v>0</v>
      </c>
      <c r="AI565" s="17">
        <f t="shared" si="153"/>
        <v>0</v>
      </c>
      <c r="AJ565" s="12">
        <f>VLOOKUP(A565,'PreK Proxy - Sept. 2024'!$A$2:$I$674,9,FALSE)</f>
        <v>9</v>
      </c>
      <c r="AK565" s="18">
        <f t="shared" si="154"/>
        <v>0</v>
      </c>
    </row>
    <row r="566" spans="1:37" x14ac:dyDescent="0.35">
      <c r="A566" s="11" t="s">
        <v>1137</v>
      </c>
      <c r="B566" s="12" t="s">
        <v>1138</v>
      </c>
      <c r="C566" s="54" t="s">
        <v>1416</v>
      </c>
      <c r="D566" s="54" t="s">
        <v>545</v>
      </c>
      <c r="E566" s="66">
        <f t="shared" si="140"/>
        <v>1</v>
      </c>
      <c r="F566" s="13">
        <f t="shared" si="141"/>
        <v>0</v>
      </c>
      <c r="G566" s="67">
        <f t="shared" si="142"/>
        <v>1</v>
      </c>
      <c r="H566" s="64">
        <f t="shared" si="138"/>
        <v>1</v>
      </c>
      <c r="I566" s="80">
        <v>1</v>
      </c>
      <c r="J566" s="80">
        <v>0</v>
      </c>
      <c r="K566" s="59">
        <f t="shared" si="143"/>
        <v>1</v>
      </c>
      <c r="L566" s="59">
        <v>0</v>
      </c>
      <c r="M566" s="59">
        <v>0</v>
      </c>
      <c r="N566" s="59">
        <f t="shared" si="144"/>
        <v>0</v>
      </c>
      <c r="O566" s="15">
        <f t="shared" si="145"/>
        <v>0</v>
      </c>
      <c r="P566" s="87">
        <f t="shared" si="146"/>
        <v>0</v>
      </c>
      <c r="Q566" s="110">
        <v>0</v>
      </c>
      <c r="R566" s="59">
        <v>0</v>
      </c>
      <c r="S566" s="14">
        <v>0</v>
      </c>
      <c r="T566" s="59">
        <v>0</v>
      </c>
      <c r="U566" s="15">
        <f t="shared" si="139"/>
        <v>0</v>
      </c>
      <c r="V566" s="14">
        <v>0</v>
      </c>
      <c r="W566" s="15">
        <f t="shared" si="147"/>
        <v>0</v>
      </c>
      <c r="X566" s="14">
        <v>0</v>
      </c>
      <c r="Y566" s="75">
        <v>0</v>
      </c>
      <c r="Z566" s="87">
        <f t="shared" si="148"/>
        <v>0</v>
      </c>
      <c r="AA566" s="14">
        <f t="shared" si="149"/>
        <v>0</v>
      </c>
      <c r="AB566" s="75">
        <v>0</v>
      </c>
      <c r="AC566" s="75">
        <v>0</v>
      </c>
      <c r="AD566" s="59">
        <f t="shared" si="150"/>
        <v>0</v>
      </c>
      <c r="AE566" s="73">
        <v>0</v>
      </c>
      <c r="AF566" s="73">
        <v>0</v>
      </c>
      <c r="AG566" s="15">
        <f t="shared" si="151"/>
        <v>0</v>
      </c>
      <c r="AH566" s="16">
        <f t="shared" si="152"/>
        <v>0</v>
      </c>
      <c r="AI566" s="17">
        <f t="shared" si="153"/>
        <v>0</v>
      </c>
      <c r="AJ566" s="12">
        <f>VLOOKUP(A566,'PreK Proxy - Sept. 2024'!$A$2:$I$674,9,FALSE)</f>
        <v>2</v>
      </c>
      <c r="AK566" s="18">
        <f t="shared" si="154"/>
        <v>0</v>
      </c>
    </row>
    <row r="567" spans="1:37" x14ac:dyDescent="0.35">
      <c r="A567" s="11" t="s">
        <v>1139</v>
      </c>
      <c r="B567" s="12" t="s">
        <v>1140</v>
      </c>
      <c r="C567" s="54" t="s">
        <v>1416</v>
      </c>
      <c r="D567" s="54" t="s">
        <v>545</v>
      </c>
      <c r="E567" s="66">
        <f t="shared" si="140"/>
        <v>20</v>
      </c>
      <c r="F567" s="13">
        <f t="shared" si="141"/>
        <v>20</v>
      </c>
      <c r="G567" s="67">
        <f t="shared" si="142"/>
        <v>0</v>
      </c>
      <c r="H567" s="64">
        <f t="shared" si="138"/>
        <v>20</v>
      </c>
      <c r="I567" s="80">
        <v>0</v>
      </c>
      <c r="J567" s="80">
        <v>0</v>
      </c>
      <c r="K567" s="59">
        <f t="shared" si="143"/>
        <v>0</v>
      </c>
      <c r="L567" s="59">
        <v>0</v>
      </c>
      <c r="M567" s="59">
        <v>20</v>
      </c>
      <c r="N567" s="59">
        <f t="shared" si="144"/>
        <v>20</v>
      </c>
      <c r="O567" s="15">
        <f t="shared" si="145"/>
        <v>0</v>
      </c>
      <c r="P567" s="87">
        <f t="shared" si="146"/>
        <v>0</v>
      </c>
      <c r="Q567" s="110">
        <v>0</v>
      </c>
      <c r="R567" s="59">
        <v>0</v>
      </c>
      <c r="S567" s="14">
        <v>0</v>
      </c>
      <c r="T567" s="59">
        <v>0</v>
      </c>
      <c r="U567" s="15">
        <f t="shared" si="139"/>
        <v>0</v>
      </c>
      <c r="V567" s="14">
        <v>0</v>
      </c>
      <c r="W567" s="15">
        <f t="shared" si="147"/>
        <v>0</v>
      </c>
      <c r="X567" s="14">
        <v>0</v>
      </c>
      <c r="Y567" s="75">
        <v>0</v>
      </c>
      <c r="Z567" s="87">
        <f t="shared" si="148"/>
        <v>0</v>
      </c>
      <c r="AA567" s="14">
        <f t="shared" si="149"/>
        <v>0</v>
      </c>
      <c r="AB567" s="75">
        <v>0</v>
      </c>
      <c r="AC567" s="75">
        <v>0</v>
      </c>
      <c r="AD567" s="59">
        <f t="shared" si="150"/>
        <v>0</v>
      </c>
      <c r="AE567" s="73">
        <v>0</v>
      </c>
      <c r="AF567" s="73">
        <v>0</v>
      </c>
      <c r="AG567" s="15">
        <f t="shared" si="151"/>
        <v>0</v>
      </c>
      <c r="AH567" s="16">
        <f t="shared" si="152"/>
        <v>0</v>
      </c>
      <c r="AI567" s="17">
        <f t="shared" si="153"/>
        <v>20</v>
      </c>
      <c r="AJ567" s="12">
        <f>VLOOKUP(A567,'PreK Proxy - Sept. 2024'!$A$2:$I$674,9,FALSE)</f>
        <v>39</v>
      </c>
      <c r="AK567" s="18">
        <f t="shared" si="154"/>
        <v>0.51282051282051277</v>
      </c>
    </row>
    <row r="568" spans="1:37" x14ac:dyDescent="0.35">
      <c r="A568" s="11" t="s">
        <v>1141</v>
      </c>
      <c r="B568" s="12" t="s">
        <v>1142</v>
      </c>
      <c r="C568" s="54" t="s">
        <v>1416</v>
      </c>
      <c r="D568" s="54" t="s">
        <v>545</v>
      </c>
      <c r="E568" s="66">
        <f t="shared" si="140"/>
        <v>26</v>
      </c>
      <c r="F568" s="13">
        <f t="shared" si="141"/>
        <v>26</v>
      </c>
      <c r="G568" s="67">
        <f t="shared" si="142"/>
        <v>0</v>
      </c>
      <c r="H568" s="64">
        <f t="shared" si="138"/>
        <v>26</v>
      </c>
      <c r="I568" s="80">
        <v>0</v>
      </c>
      <c r="J568" s="80">
        <v>0</v>
      </c>
      <c r="K568" s="59">
        <f t="shared" si="143"/>
        <v>0</v>
      </c>
      <c r="L568" s="59">
        <v>0</v>
      </c>
      <c r="M568" s="59">
        <v>26</v>
      </c>
      <c r="N568" s="59">
        <f t="shared" si="144"/>
        <v>26</v>
      </c>
      <c r="O568" s="15">
        <f t="shared" si="145"/>
        <v>0</v>
      </c>
      <c r="P568" s="87">
        <f t="shared" si="146"/>
        <v>0</v>
      </c>
      <c r="Q568" s="110">
        <v>0</v>
      </c>
      <c r="R568" s="59">
        <v>0</v>
      </c>
      <c r="S568" s="14">
        <v>0</v>
      </c>
      <c r="T568" s="59">
        <v>0</v>
      </c>
      <c r="U568" s="15">
        <f t="shared" si="139"/>
        <v>0</v>
      </c>
      <c r="V568" s="14">
        <v>0</v>
      </c>
      <c r="W568" s="15">
        <f t="shared" si="147"/>
        <v>0</v>
      </c>
      <c r="X568" s="14">
        <v>0</v>
      </c>
      <c r="Y568" s="75">
        <v>0</v>
      </c>
      <c r="Z568" s="87">
        <f t="shared" si="148"/>
        <v>0</v>
      </c>
      <c r="AA568" s="14">
        <f t="shared" si="149"/>
        <v>0</v>
      </c>
      <c r="AB568" s="75">
        <v>0</v>
      </c>
      <c r="AC568" s="75">
        <v>0</v>
      </c>
      <c r="AD568" s="59">
        <f t="shared" si="150"/>
        <v>0</v>
      </c>
      <c r="AE568" s="73">
        <v>0</v>
      </c>
      <c r="AF568" s="73">
        <v>0</v>
      </c>
      <c r="AG568" s="15">
        <f t="shared" si="151"/>
        <v>0</v>
      </c>
      <c r="AH568" s="16">
        <f t="shared" si="152"/>
        <v>0</v>
      </c>
      <c r="AI568" s="17">
        <f t="shared" si="153"/>
        <v>26</v>
      </c>
      <c r="AJ568" s="12">
        <f>VLOOKUP(A568,'PreK Proxy - Sept. 2024'!$A$2:$I$674,9,FALSE)</f>
        <v>34</v>
      </c>
      <c r="AK568" s="18">
        <f t="shared" si="154"/>
        <v>0.76470588235294112</v>
      </c>
    </row>
    <row r="569" spans="1:37" x14ac:dyDescent="0.35">
      <c r="A569" s="11" t="s">
        <v>1143</v>
      </c>
      <c r="B569" s="12" t="s">
        <v>1144</v>
      </c>
      <c r="C569" s="54" t="s">
        <v>1416</v>
      </c>
      <c r="D569" s="54" t="s">
        <v>545</v>
      </c>
      <c r="E569" s="66">
        <f t="shared" si="140"/>
        <v>34</v>
      </c>
      <c r="F569" s="13">
        <f t="shared" si="141"/>
        <v>34</v>
      </c>
      <c r="G569" s="67">
        <f t="shared" si="142"/>
        <v>0</v>
      </c>
      <c r="H569" s="64">
        <f t="shared" si="138"/>
        <v>34</v>
      </c>
      <c r="I569" s="80">
        <v>0</v>
      </c>
      <c r="J569" s="80">
        <v>0</v>
      </c>
      <c r="K569" s="59">
        <f t="shared" si="143"/>
        <v>0</v>
      </c>
      <c r="L569" s="59">
        <v>0</v>
      </c>
      <c r="M569" s="59">
        <v>34</v>
      </c>
      <c r="N569" s="59">
        <f t="shared" si="144"/>
        <v>34</v>
      </c>
      <c r="O569" s="15">
        <f t="shared" si="145"/>
        <v>0</v>
      </c>
      <c r="P569" s="87">
        <f t="shared" si="146"/>
        <v>0</v>
      </c>
      <c r="Q569" s="110">
        <v>0</v>
      </c>
      <c r="R569" s="59">
        <v>0</v>
      </c>
      <c r="S569" s="14">
        <v>0</v>
      </c>
      <c r="T569" s="59">
        <v>0</v>
      </c>
      <c r="U569" s="15">
        <f t="shared" si="139"/>
        <v>0</v>
      </c>
      <c r="V569" s="14">
        <v>0</v>
      </c>
      <c r="W569" s="15">
        <f t="shared" si="147"/>
        <v>0</v>
      </c>
      <c r="X569" s="14">
        <v>0</v>
      </c>
      <c r="Y569" s="75">
        <v>0</v>
      </c>
      <c r="Z569" s="87">
        <f t="shared" si="148"/>
        <v>0</v>
      </c>
      <c r="AA569" s="14">
        <f t="shared" si="149"/>
        <v>0</v>
      </c>
      <c r="AB569" s="75">
        <v>0</v>
      </c>
      <c r="AC569" s="75">
        <v>0</v>
      </c>
      <c r="AD569" s="59">
        <f t="shared" si="150"/>
        <v>0</v>
      </c>
      <c r="AE569" s="73">
        <v>0</v>
      </c>
      <c r="AF569" s="73">
        <v>0</v>
      </c>
      <c r="AG569" s="15">
        <f t="shared" si="151"/>
        <v>0</v>
      </c>
      <c r="AH569" s="16">
        <f t="shared" si="152"/>
        <v>0</v>
      </c>
      <c r="AI569" s="17">
        <f t="shared" si="153"/>
        <v>34</v>
      </c>
      <c r="AJ569" s="12">
        <f>VLOOKUP(A569,'PreK Proxy - Sept. 2024'!$A$2:$I$674,9,FALSE)</f>
        <v>39</v>
      </c>
      <c r="AK569" s="18">
        <f t="shared" si="154"/>
        <v>0.87179487179487181</v>
      </c>
    </row>
    <row r="570" spans="1:37" x14ac:dyDescent="0.35">
      <c r="A570" s="11" t="s">
        <v>1145</v>
      </c>
      <c r="B570" s="12" t="s">
        <v>1146</v>
      </c>
      <c r="C570" s="54" t="s">
        <v>1429</v>
      </c>
      <c r="D570" s="54" t="s">
        <v>251</v>
      </c>
      <c r="E570" s="66">
        <f t="shared" si="140"/>
        <v>41</v>
      </c>
      <c r="F570" s="13">
        <f t="shared" si="141"/>
        <v>39</v>
      </c>
      <c r="G570" s="67">
        <f t="shared" si="142"/>
        <v>2</v>
      </c>
      <c r="H570" s="64">
        <f t="shared" si="138"/>
        <v>35</v>
      </c>
      <c r="I570" s="80">
        <v>0</v>
      </c>
      <c r="J570" s="80">
        <v>1</v>
      </c>
      <c r="K570" s="59">
        <f t="shared" si="143"/>
        <v>1</v>
      </c>
      <c r="L570" s="59">
        <v>0</v>
      </c>
      <c r="M570" s="59">
        <v>34</v>
      </c>
      <c r="N570" s="59">
        <f t="shared" si="144"/>
        <v>34</v>
      </c>
      <c r="O570" s="15">
        <f t="shared" si="145"/>
        <v>0</v>
      </c>
      <c r="P570" s="87">
        <f t="shared" si="146"/>
        <v>6</v>
      </c>
      <c r="Q570" s="110">
        <v>1</v>
      </c>
      <c r="R570" s="59">
        <v>5</v>
      </c>
      <c r="S570" s="14">
        <v>0</v>
      </c>
      <c r="T570" s="59">
        <v>0</v>
      </c>
      <c r="U570" s="15">
        <f t="shared" si="139"/>
        <v>0</v>
      </c>
      <c r="V570" s="14">
        <v>0</v>
      </c>
      <c r="W570" s="15">
        <f t="shared" si="147"/>
        <v>0</v>
      </c>
      <c r="X570" s="14">
        <v>0</v>
      </c>
      <c r="Y570" s="75">
        <v>0</v>
      </c>
      <c r="Z570" s="87">
        <f t="shared" si="148"/>
        <v>0</v>
      </c>
      <c r="AA570" s="14">
        <f t="shared" si="149"/>
        <v>0</v>
      </c>
      <c r="AB570" s="75">
        <v>0</v>
      </c>
      <c r="AC570" s="75">
        <v>0</v>
      </c>
      <c r="AD570" s="59">
        <f t="shared" si="150"/>
        <v>0</v>
      </c>
      <c r="AE570" s="73">
        <v>0</v>
      </c>
      <c r="AF570" s="73">
        <v>0</v>
      </c>
      <c r="AG570" s="15">
        <f t="shared" si="151"/>
        <v>0</v>
      </c>
      <c r="AH570" s="16">
        <f t="shared" si="152"/>
        <v>2</v>
      </c>
      <c r="AI570" s="17">
        <f t="shared" si="153"/>
        <v>39</v>
      </c>
      <c r="AJ570" s="12">
        <f>VLOOKUP(A570,'PreK Proxy - Sept. 2024'!$A$2:$I$674,9,FALSE)</f>
        <v>122</v>
      </c>
      <c r="AK570" s="18">
        <f t="shared" si="154"/>
        <v>0.33606557377049179</v>
      </c>
    </row>
    <row r="571" spans="1:37" x14ac:dyDescent="0.35">
      <c r="A571" s="11" t="s">
        <v>1147</v>
      </c>
      <c r="B571" s="12" t="s">
        <v>1148</v>
      </c>
      <c r="C571" s="54" t="s">
        <v>1429</v>
      </c>
      <c r="D571" s="54" t="s">
        <v>251</v>
      </c>
      <c r="E571" s="66">
        <f t="shared" si="140"/>
        <v>14</v>
      </c>
      <c r="F571" s="13">
        <f t="shared" si="141"/>
        <v>14</v>
      </c>
      <c r="G571" s="67">
        <f t="shared" si="142"/>
        <v>0</v>
      </c>
      <c r="H571" s="64">
        <f t="shared" si="138"/>
        <v>14</v>
      </c>
      <c r="I571" s="80">
        <v>0</v>
      </c>
      <c r="J571" s="80">
        <v>0</v>
      </c>
      <c r="K571" s="59">
        <f t="shared" si="143"/>
        <v>0</v>
      </c>
      <c r="L571" s="59">
        <v>0</v>
      </c>
      <c r="M571" s="59">
        <v>14</v>
      </c>
      <c r="N571" s="59">
        <f t="shared" si="144"/>
        <v>14</v>
      </c>
      <c r="O571" s="15">
        <f t="shared" si="145"/>
        <v>0</v>
      </c>
      <c r="P571" s="87">
        <f t="shared" si="146"/>
        <v>0</v>
      </c>
      <c r="Q571" s="110">
        <v>0</v>
      </c>
      <c r="R571" s="59">
        <v>0</v>
      </c>
      <c r="S571" s="14">
        <v>0</v>
      </c>
      <c r="T571" s="59">
        <v>0</v>
      </c>
      <c r="U571" s="15">
        <f t="shared" si="139"/>
        <v>0</v>
      </c>
      <c r="V571" s="14">
        <v>0</v>
      </c>
      <c r="W571" s="15">
        <f t="shared" si="147"/>
        <v>0</v>
      </c>
      <c r="X571" s="14">
        <v>0</v>
      </c>
      <c r="Y571" s="75">
        <v>0</v>
      </c>
      <c r="Z571" s="87">
        <f t="shared" si="148"/>
        <v>0</v>
      </c>
      <c r="AA571" s="14">
        <f t="shared" si="149"/>
        <v>0</v>
      </c>
      <c r="AB571" s="75">
        <v>0</v>
      </c>
      <c r="AC571" s="75">
        <v>0</v>
      </c>
      <c r="AD571" s="59">
        <f t="shared" si="150"/>
        <v>0</v>
      </c>
      <c r="AE571" s="73">
        <v>0</v>
      </c>
      <c r="AF571" s="73">
        <v>0</v>
      </c>
      <c r="AG571" s="15">
        <f t="shared" si="151"/>
        <v>0</v>
      </c>
      <c r="AH571" s="16">
        <f t="shared" si="152"/>
        <v>0</v>
      </c>
      <c r="AI571" s="17">
        <f t="shared" si="153"/>
        <v>14</v>
      </c>
      <c r="AJ571" s="12">
        <f>VLOOKUP(A571,'PreK Proxy - Sept. 2024'!$A$2:$I$674,9,FALSE)</f>
        <v>50</v>
      </c>
      <c r="AK571" s="18">
        <f t="shared" si="154"/>
        <v>0.28000000000000003</v>
      </c>
    </row>
    <row r="572" spans="1:37" x14ac:dyDescent="0.35">
      <c r="A572" s="11" t="s">
        <v>1149</v>
      </c>
      <c r="B572" s="12" t="s">
        <v>1150</v>
      </c>
      <c r="C572" s="54" t="s">
        <v>1429</v>
      </c>
      <c r="D572" s="54" t="s">
        <v>251</v>
      </c>
      <c r="E572" s="66">
        <f t="shared" si="140"/>
        <v>71</v>
      </c>
      <c r="F572" s="13">
        <f t="shared" si="141"/>
        <v>38</v>
      </c>
      <c r="G572" s="67">
        <f t="shared" si="142"/>
        <v>33</v>
      </c>
      <c r="H572" s="64">
        <f t="shared" si="138"/>
        <v>71</v>
      </c>
      <c r="I572" s="80">
        <v>0</v>
      </c>
      <c r="J572" s="80">
        <v>33</v>
      </c>
      <c r="K572" s="59">
        <f t="shared" si="143"/>
        <v>33</v>
      </c>
      <c r="L572" s="59">
        <v>0</v>
      </c>
      <c r="M572" s="59">
        <v>38</v>
      </c>
      <c r="N572" s="59">
        <f t="shared" si="144"/>
        <v>38</v>
      </c>
      <c r="O572" s="15">
        <f t="shared" si="145"/>
        <v>0</v>
      </c>
      <c r="P572" s="87">
        <f t="shared" si="146"/>
        <v>0</v>
      </c>
      <c r="Q572" s="110">
        <v>0</v>
      </c>
      <c r="R572" s="59">
        <v>0</v>
      </c>
      <c r="S572" s="14">
        <v>0</v>
      </c>
      <c r="T572" s="59">
        <v>0</v>
      </c>
      <c r="U572" s="15">
        <f t="shared" si="139"/>
        <v>0</v>
      </c>
      <c r="V572" s="14">
        <v>0</v>
      </c>
      <c r="W572" s="15">
        <f t="shared" si="147"/>
        <v>0</v>
      </c>
      <c r="X572" s="14">
        <v>0</v>
      </c>
      <c r="Y572" s="75">
        <v>0</v>
      </c>
      <c r="Z572" s="87">
        <f t="shared" si="148"/>
        <v>0</v>
      </c>
      <c r="AA572" s="14">
        <f t="shared" si="149"/>
        <v>0</v>
      </c>
      <c r="AB572" s="75">
        <v>0</v>
      </c>
      <c r="AC572" s="75">
        <v>0</v>
      </c>
      <c r="AD572" s="59">
        <f t="shared" si="150"/>
        <v>0</v>
      </c>
      <c r="AE572" s="73">
        <v>0</v>
      </c>
      <c r="AF572" s="73">
        <v>0</v>
      </c>
      <c r="AG572" s="15">
        <f t="shared" si="151"/>
        <v>0</v>
      </c>
      <c r="AH572" s="16">
        <f t="shared" si="152"/>
        <v>33</v>
      </c>
      <c r="AI572" s="17">
        <f t="shared" si="153"/>
        <v>38</v>
      </c>
      <c r="AJ572" s="12">
        <f>VLOOKUP(A572,'PreK Proxy - Sept. 2024'!$A$2:$I$674,9,FALSE)</f>
        <v>105</v>
      </c>
      <c r="AK572" s="18">
        <f t="shared" si="154"/>
        <v>0.67619047619047623</v>
      </c>
    </row>
    <row r="573" spans="1:37" x14ac:dyDescent="0.35">
      <c r="A573" s="11" t="s">
        <v>1151</v>
      </c>
      <c r="B573" s="12" t="s">
        <v>1152</v>
      </c>
      <c r="C573" s="54" t="s">
        <v>1429</v>
      </c>
      <c r="D573" s="54" t="s">
        <v>251</v>
      </c>
      <c r="E573" s="66">
        <f t="shared" si="140"/>
        <v>59</v>
      </c>
      <c r="F573" s="13">
        <f t="shared" si="141"/>
        <v>59</v>
      </c>
      <c r="G573" s="67">
        <f t="shared" si="142"/>
        <v>0</v>
      </c>
      <c r="H573" s="64">
        <f t="shared" si="138"/>
        <v>23</v>
      </c>
      <c r="I573" s="80">
        <v>0</v>
      </c>
      <c r="J573" s="80">
        <v>0</v>
      </c>
      <c r="K573" s="59">
        <f t="shared" si="143"/>
        <v>0</v>
      </c>
      <c r="L573" s="59">
        <v>0</v>
      </c>
      <c r="M573" s="59">
        <v>23</v>
      </c>
      <c r="N573" s="59">
        <f t="shared" si="144"/>
        <v>23</v>
      </c>
      <c r="O573" s="15">
        <f t="shared" si="145"/>
        <v>0</v>
      </c>
      <c r="P573" s="87">
        <f t="shared" si="146"/>
        <v>0</v>
      </c>
      <c r="Q573" s="110">
        <v>0</v>
      </c>
      <c r="R573" s="59">
        <v>0</v>
      </c>
      <c r="S573" s="14">
        <v>36</v>
      </c>
      <c r="T573" s="59">
        <v>0</v>
      </c>
      <c r="U573" s="15">
        <f t="shared" si="139"/>
        <v>36</v>
      </c>
      <c r="V573" s="14">
        <v>0</v>
      </c>
      <c r="W573" s="15">
        <f t="shared" si="147"/>
        <v>0</v>
      </c>
      <c r="X573" s="14">
        <v>0</v>
      </c>
      <c r="Y573" s="75">
        <v>0</v>
      </c>
      <c r="Z573" s="87">
        <f t="shared" si="148"/>
        <v>0</v>
      </c>
      <c r="AA573" s="14">
        <f t="shared" si="149"/>
        <v>0</v>
      </c>
      <c r="AB573" s="75">
        <v>0</v>
      </c>
      <c r="AC573" s="75">
        <v>0</v>
      </c>
      <c r="AD573" s="59">
        <f t="shared" si="150"/>
        <v>0</v>
      </c>
      <c r="AE573" s="73">
        <v>0</v>
      </c>
      <c r="AF573" s="73">
        <v>0</v>
      </c>
      <c r="AG573" s="15">
        <f t="shared" si="151"/>
        <v>0</v>
      </c>
      <c r="AH573" s="16">
        <f t="shared" si="152"/>
        <v>0</v>
      </c>
      <c r="AI573" s="17">
        <f t="shared" si="153"/>
        <v>59</v>
      </c>
      <c r="AJ573" s="12">
        <f>VLOOKUP(A573,'PreK Proxy - Sept. 2024'!$A$2:$I$674,9,FALSE)</f>
        <v>55</v>
      </c>
      <c r="AK573" s="18">
        <f t="shared" si="154"/>
        <v>1</v>
      </c>
    </row>
    <row r="574" spans="1:37" x14ac:dyDescent="0.35">
      <c r="A574" s="11" t="s">
        <v>1153</v>
      </c>
      <c r="B574" s="12" t="s">
        <v>1154</v>
      </c>
      <c r="C574" s="54" t="s">
        <v>1429</v>
      </c>
      <c r="D574" s="54" t="s">
        <v>251</v>
      </c>
      <c r="E574" s="66">
        <f t="shared" si="140"/>
        <v>9</v>
      </c>
      <c r="F574" s="13">
        <f t="shared" si="141"/>
        <v>9</v>
      </c>
      <c r="G574" s="67">
        <f t="shared" si="142"/>
        <v>0</v>
      </c>
      <c r="H574" s="64">
        <f t="shared" si="138"/>
        <v>9</v>
      </c>
      <c r="I574" s="80">
        <v>0</v>
      </c>
      <c r="J574" s="80">
        <v>0</v>
      </c>
      <c r="K574" s="59">
        <f t="shared" si="143"/>
        <v>0</v>
      </c>
      <c r="L574" s="59">
        <v>0</v>
      </c>
      <c r="M574" s="59">
        <v>9</v>
      </c>
      <c r="N574" s="59">
        <f t="shared" si="144"/>
        <v>9</v>
      </c>
      <c r="O574" s="15">
        <f t="shared" si="145"/>
        <v>0</v>
      </c>
      <c r="P574" s="87">
        <f t="shared" si="146"/>
        <v>0</v>
      </c>
      <c r="Q574" s="110">
        <v>0</v>
      </c>
      <c r="R574" s="59">
        <v>0</v>
      </c>
      <c r="S574" s="14">
        <v>0</v>
      </c>
      <c r="T574" s="59">
        <v>0</v>
      </c>
      <c r="U574" s="15">
        <f t="shared" si="139"/>
        <v>0</v>
      </c>
      <c r="V574" s="14">
        <v>0</v>
      </c>
      <c r="W574" s="15">
        <f t="shared" si="147"/>
        <v>0</v>
      </c>
      <c r="X574" s="14">
        <v>0</v>
      </c>
      <c r="Y574" s="75">
        <v>0</v>
      </c>
      <c r="Z574" s="87">
        <f t="shared" si="148"/>
        <v>0</v>
      </c>
      <c r="AA574" s="14">
        <f t="shared" si="149"/>
        <v>0</v>
      </c>
      <c r="AB574" s="75">
        <v>0</v>
      </c>
      <c r="AC574" s="75">
        <v>0</v>
      </c>
      <c r="AD574" s="59">
        <f t="shared" si="150"/>
        <v>0</v>
      </c>
      <c r="AE574" s="73">
        <v>0</v>
      </c>
      <c r="AF574" s="73">
        <v>0</v>
      </c>
      <c r="AG574" s="15">
        <f t="shared" si="151"/>
        <v>0</v>
      </c>
      <c r="AH574" s="16">
        <f t="shared" si="152"/>
        <v>0</v>
      </c>
      <c r="AI574" s="17">
        <f t="shared" si="153"/>
        <v>9</v>
      </c>
      <c r="AJ574" s="12">
        <f>VLOOKUP(A574,'PreK Proxy - Sept. 2024'!$A$2:$I$674,9,FALSE)</f>
        <v>13</v>
      </c>
      <c r="AK574" s="18">
        <f t="shared" si="154"/>
        <v>0.69230769230769229</v>
      </c>
    </row>
    <row r="575" spans="1:37" x14ac:dyDescent="0.35">
      <c r="A575" s="11" t="s">
        <v>1155</v>
      </c>
      <c r="B575" s="12" t="s">
        <v>1156</v>
      </c>
      <c r="C575" s="54" t="s">
        <v>1429</v>
      </c>
      <c r="D575" s="54" t="s">
        <v>251</v>
      </c>
      <c r="E575" s="66">
        <f t="shared" si="140"/>
        <v>16</v>
      </c>
      <c r="F575" s="13">
        <f t="shared" si="141"/>
        <v>16</v>
      </c>
      <c r="G575" s="67">
        <f t="shared" si="142"/>
        <v>0</v>
      </c>
      <c r="H575" s="64">
        <f t="shared" si="138"/>
        <v>0</v>
      </c>
      <c r="I575" s="80">
        <v>0</v>
      </c>
      <c r="J575" s="80">
        <v>0</v>
      </c>
      <c r="K575" s="59">
        <f t="shared" si="143"/>
        <v>0</v>
      </c>
      <c r="L575" s="59">
        <v>0</v>
      </c>
      <c r="M575" s="59">
        <v>0</v>
      </c>
      <c r="N575" s="59">
        <f t="shared" si="144"/>
        <v>0</v>
      </c>
      <c r="O575" s="15">
        <f t="shared" si="145"/>
        <v>0</v>
      </c>
      <c r="P575" s="87">
        <f t="shared" si="146"/>
        <v>16</v>
      </c>
      <c r="Q575" s="110">
        <v>0</v>
      </c>
      <c r="R575" s="59">
        <v>16</v>
      </c>
      <c r="S575" s="14">
        <v>0</v>
      </c>
      <c r="T575" s="59">
        <v>0</v>
      </c>
      <c r="U575" s="15">
        <f t="shared" si="139"/>
        <v>0</v>
      </c>
      <c r="V575" s="14">
        <v>0</v>
      </c>
      <c r="W575" s="15">
        <f t="shared" si="147"/>
        <v>0</v>
      </c>
      <c r="X575" s="14">
        <v>0</v>
      </c>
      <c r="Y575" s="75">
        <v>0</v>
      </c>
      <c r="Z575" s="87">
        <f t="shared" si="148"/>
        <v>0</v>
      </c>
      <c r="AA575" s="14">
        <f t="shared" si="149"/>
        <v>0</v>
      </c>
      <c r="AB575" s="75">
        <v>0</v>
      </c>
      <c r="AC575" s="75">
        <v>0</v>
      </c>
      <c r="AD575" s="59">
        <f t="shared" si="150"/>
        <v>0</v>
      </c>
      <c r="AE575" s="73">
        <v>0</v>
      </c>
      <c r="AF575" s="73">
        <v>0</v>
      </c>
      <c r="AG575" s="15">
        <f t="shared" si="151"/>
        <v>0</v>
      </c>
      <c r="AH575" s="16">
        <f t="shared" si="152"/>
        <v>0</v>
      </c>
      <c r="AI575" s="17">
        <f t="shared" si="153"/>
        <v>16</v>
      </c>
      <c r="AJ575" s="12">
        <f>VLOOKUP(A575,'PreK Proxy - Sept. 2024'!$A$2:$I$674,9,FALSE)</f>
        <v>21</v>
      </c>
      <c r="AK575" s="18">
        <f t="shared" si="154"/>
        <v>0.76190476190476186</v>
      </c>
    </row>
    <row r="576" spans="1:37" x14ac:dyDescent="0.35">
      <c r="A576" s="11" t="s">
        <v>1157</v>
      </c>
      <c r="B576" s="12" t="s">
        <v>1158</v>
      </c>
      <c r="C576" s="54" t="s">
        <v>1429</v>
      </c>
      <c r="D576" s="54" t="s">
        <v>251</v>
      </c>
      <c r="E576" s="66">
        <f t="shared" si="140"/>
        <v>165</v>
      </c>
      <c r="F576" s="13">
        <f t="shared" si="141"/>
        <v>165</v>
      </c>
      <c r="G576" s="67">
        <f t="shared" si="142"/>
        <v>0</v>
      </c>
      <c r="H576" s="64">
        <f t="shared" si="138"/>
        <v>165</v>
      </c>
      <c r="I576" s="80">
        <v>0</v>
      </c>
      <c r="J576" s="80">
        <v>0</v>
      </c>
      <c r="K576" s="59">
        <f t="shared" si="143"/>
        <v>0</v>
      </c>
      <c r="L576" s="59">
        <v>62</v>
      </c>
      <c r="M576" s="59">
        <v>103</v>
      </c>
      <c r="N576" s="59">
        <f t="shared" si="144"/>
        <v>165</v>
      </c>
      <c r="O576" s="15">
        <f t="shared" si="145"/>
        <v>0</v>
      </c>
      <c r="P576" s="87">
        <f t="shared" si="146"/>
        <v>0</v>
      </c>
      <c r="Q576" s="110">
        <v>0</v>
      </c>
      <c r="R576" s="59">
        <v>0</v>
      </c>
      <c r="S576" s="14">
        <v>0</v>
      </c>
      <c r="T576" s="59">
        <v>0</v>
      </c>
      <c r="U576" s="15">
        <f t="shared" si="139"/>
        <v>0</v>
      </c>
      <c r="V576" s="14">
        <v>0</v>
      </c>
      <c r="W576" s="15">
        <f t="shared" si="147"/>
        <v>0</v>
      </c>
      <c r="X576" s="14">
        <v>0</v>
      </c>
      <c r="Y576" s="75">
        <v>0</v>
      </c>
      <c r="Z576" s="87">
        <f t="shared" si="148"/>
        <v>0</v>
      </c>
      <c r="AA576" s="14">
        <f t="shared" si="149"/>
        <v>0</v>
      </c>
      <c r="AB576" s="75">
        <v>0</v>
      </c>
      <c r="AC576" s="75">
        <v>0</v>
      </c>
      <c r="AD576" s="59">
        <f t="shared" si="150"/>
        <v>0</v>
      </c>
      <c r="AE576" s="73">
        <v>0</v>
      </c>
      <c r="AF576" s="73">
        <v>0</v>
      </c>
      <c r="AG576" s="15">
        <f t="shared" si="151"/>
        <v>0</v>
      </c>
      <c r="AH576" s="16">
        <f t="shared" si="152"/>
        <v>0</v>
      </c>
      <c r="AI576" s="17">
        <f t="shared" si="153"/>
        <v>103</v>
      </c>
      <c r="AJ576" s="12">
        <f>VLOOKUP(A576,'PreK Proxy - Sept. 2024'!$A$2:$I$674,9,FALSE)</f>
        <v>204</v>
      </c>
      <c r="AK576" s="18">
        <f t="shared" si="154"/>
        <v>0.50490196078431371</v>
      </c>
    </row>
    <row r="577" spans="1:37" x14ac:dyDescent="0.35">
      <c r="A577" s="11" t="s">
        <v>1159</v>
      </c>
      <c r="B577" s="12" t="s">
        <v>1399</v>
      </c>
      <c r="C577" s="54" t="s">
        <v>1429</v>
      </c>
      <c r="D577" s="54" t="s">
        <v>251</v>
      </c>
      <c r="E577" s="66">
        <f t="shared" si="140"/>
        <v>54</v>
      </c>
      <c r="F577" s="13">
        <f t="shared" si="141"/>
        <v>54</v>
      </c>
      <c r="G577" s="67">
        <f t="shared" si="142"/>
        <v>0</v>
      </c>
      <c r="H577" s="64">
        <f t="shared" si="138"/>
        <v>30</v>
      </c>
      <c r="I577" s="80">
        <v>0</v>
      </c>
      <c r="J577" s="80">
        <v>0</v>
      </c>
      <c r="K577" s="59">
        <f t="shared" si="143"/>
        <v>0</v>
      </c>
      <c r="L577" s="59">
        <v>0</v>
      </c>
      <c r="M577" s="59">
        <v>30</v>
      </c>
      <c r="N577" s="59">
        <f t="shared" si="144"/>
        <v>30</v>
      </c>
      <c r="O577" s="15">
        <f t="shared" si="145"/>
        <v>0</v>
      </c>
      <c r="P577" s="87">
        <f t="shared" si="146"/>
        <v>24</v>
      </c>
      <c r="Q577" s="110">
        <v>0</v>
      </c>
      <c r="R577" s="59">
        <v>24</v>
      </c>
      <c r="S577" s="14">
        <v>0</v>
      </c>
      <c r="T577" s="59">
        <v>0</v>
      </c>
      <c r="U577" s="15">
        <f t="shared" si="139"/>
        <v>0</v>
      </c>
      <c r="V577" s="14">
        <v>0</v>
      </c>
      <c r="W577" s="15">
        <f t="shared" si="147"/>
        <v>0</v>
      </c>
      <c r="X577" s="14">
        <v>0</v>
      </c>
      <c r="Y577" s="75">
        <v>0</v>
      </c>
      <c r="Z577" s="87">
        <f t="shared" si="148"/>
        <v>0</v>
      </c>
      <c r="AA577" s="14">
        <f t="shared" si="149"/>
        <v>0</v>
      </c>
      <c r="AB577" s="75">
        <v>0</v>
      </c>
      <c r="AC577" s="75">
        <v>0</v>
      </c>
      <c r="AD577" s="59">
        <f t="shared" si="150"/>
        <v>0</v>
      </c>
      <c r="AE577" s="73">
        <v>0</v>
      </c>
      <c r="AF577" s="73">
        <v>0</v>
      </c>
      <c r="AG577" s="15">
        <f t="shared" si="151"/>
        <v>0</v>
      </c>
      <c r="AH577" s="16">
        <f t="shared" si="152"/>
        <v>0</v>
      </c>
      <c r="AI577" s="17">
        <f t="shared" si="153"/>
        <v>54</v>
      </c>
      <c r="AJ577" s="12">
        <f>VLOOKUP(A577,'PreK Proxy - Sept. 2024'!$A$2:$I$674,9,FALSE)</f>
        <v>60</v>
      </c>
      <c r="AK577" s="18">
        <f t="shared" si="154"/>
        <v>0.9</v>
      </c>
    </row>
    <row r="578" spans="1:37" x14ac:dyDescent="0.35">
      <c r="A578" s="11" t="s">
        <v>1160</v>
      </c>
      <c r="B578" s="12" t="s">
        <v>1161</v>
      </c>
      <c r="C578" s="54" t="s">
        <v>1385</v>
      </c>
      <c r="D578" s="54" t="s">
        <v>68</v>
      </c>
      <c r="E578" s="66">
        <f t="shared" si="140"/>
        <v>120</v>
      </c>
      <c r="F578" s="13">
        <f t="shared" si="141"/>
        <v>120</v>
      </c>
      <c r="G578" s="67">
        <f t="shared" si="142"/>
        <v>0</v>
      </c>
      <c r="H578" s="64">
        <f t="shared" si="138"/>
        <v>105</v>
      </c>
      <c r="I578" s="80">
        <v>0</v>
      </c>
      <c r="J578" s="80">
        <v>0</v>
      </c>
      <c r="K578" s="59">
        <f t="shared" si="143"/>
        <v>0</v>
      </c>
      <c r="L578" s="59">
        <v>45</v>
      </c>
      <c r="M578" s="59">
        <v>60</v>
      </c>
      <c r="N578" s="59">
        <f t="shared" si="144"/>
        <v>105</v>
      </c>
      <c r="O578" s="15">
        <f t="shared" si="145"/>
        <v>0</v>
      </c>
      <c r="P578" s="87">
        <f t="shared" si="146"/>
        <v>0</v>
      </c>
      <c r="Q578" s="110">
        <v>0</v>
      </c>
      <c r="R578" s="59">
        <v>0</v>
      </c>
      <c r="S578" s="14">
        <v>0</v>
      </c>
      <c r="T578" s="59">
        <v>0</v>
      </c>
      <c r="U578" s="15">
        <f t="shared" si="139"/>
        <v>0</v>
      </c>
      <c r="V578" s="14">
        <v>0</v>
      </c>
      <c r="W578" s="15">
        <f t="shared" si="147"/>
        <v>0</v>
      </c>
      <c r="X578" s="14">
        <v>15</v>
      </c>
      <c r="Y578" s="75">
        <v>0</v>
      </c>
      <c r="Z578" s="87">
        <f t="shared" si="148"/>
        <v>15</v>
      </c>
      <c r="AA578" s="14">
        <f t="shared" si="149"/>
        <v>0</v>
      </c>
      <c r="AB578" s="75">
        <v>0</v>
      </c>
      <c r="AC578" s="75">
        <v>0</v>
      </c>
      <c r="AD578" s="59">
        <f t="shared" si="150"/>
        <v>0</v>
      </c>
      <c r="AE578" s="73">
        <v>0</v>
      </c>
      <c r="AF578" s="73">
        <v>0</v>
      </c>
      <c r="AG578" s="15">
        <f t="shared" si="151"/>
        <v>0</v>
      </c>
      <c r="AH578" s="16">
        <f t="shared" si="152"/>
        <v>0</v>
      </c>
      <c r="AI578" s="17">
        <f t="shared" si="153"/>
        <v>75</v>
      </c>
      <c r="AJ578" s="12">
        <f>VLOOKUP(A578,'PreK Proxy - Sept. 2024'!$A$2:$I$674,9,FALSE)</f>
        <v>76</v>
      </c>
      <c r="AK578" s="18">
        <f t="shared" si="154"/>
        <v>0.98684210526315785</v>
      </c>
    </row>
    <row r="579" spans="1:37" x14ac:dyDescent="0.35">
      <c r="A579" s="11" t="s">
        <v>1162</v>
      </c>
      <c r="B579" s="12" t="s">
        <v>1163</v>
      </c>
      <c r="C579" s="54" t="s">
        <v>1385</v>
      </c>
      <c r="D579" s="54" t="s">
        <v>68</v>
      </c>
      <c r="E579" s="66">
        <f t="shared" si="140"/>
        <v>37</v>
      </c>
      <c r="F579" s="13">
        <f t="shared" si="141"/>
        <v>37</v>
      </c>
      <c r="G579" s="67">
        <f t="shared" si="142"/>
        <v>0</v>
      </c>
      <c r="H579" s="64">
        <f t="shared" ref="H579:H642" si="155">K579+N579</f>
        <v>37</v>
      </c>
      <c r="I579" s="80">
        <v>0</v>
      </c>
      <c r="J579" s="80">
        <v>0</v>
      </c>
      <c r="K579" s="59">
        <f t="shared" si="143"/>
        <v>0</v>
      </c>
      <c r="L579" s="59">
        <v>0</v>
      </c>
      <c r="M579" s="59">
        <v>37</v>
      </c>
      <c r="N579" s="59">
        <f t="shared" si="144"/>
        <v>37</v>
      </c>
      <c r="O579" s="15">
        <f t="shared" si="145"/>
        <v>0</v>
      </c>
      <c r="P579" s="87">
        <f t="shared" si="146"/>
        <v>0</v>
      </c>
      <c r="Q579" s="110">
        <v>0</v>
      </c>
      <c r="R579" s="59">
        <v>0</v>
      </c>
      <c r="S579" s="14">
        <v>0</v>
      </c>
      <c r="T579" s="59">
        <v>0</v>
      </c>
      <c r="U579" s="15">
        <f t="shared" si="139"/>
        <v>0</v>
      </c>
      <c r="V579" s="14">
        <v>0</v>
      </c>
      <c r="W579" s="15">
        <f t="shared" si="147"/>
        <v>0</v>
      </c>
      <c r="X579" s="14">
        <v>0</v>
      </c>
      <c r="Y579" s="75">
        <v>0</v>
      </c>
      <c r="Z579" s="87">
        <f t="shared" si="148"/>
        <v>0</v>
      </c>
      <c r="AA579" s="14">
        <f t="shared" si="149"/>
        <v>0</v>
      </c>
      <c r="AB579" s="75">
        <v>0</v>
      </c>
      <c r="AC579" s="75">
        <v>0</v>
      </c>
      <c r="AD579" s="59">
        <f t="shared" si="150"/>
        <v>0</v>
      </c>
      <c r="AE579" s="73">
        <v>0</v>
      </c>
      <c r="AF579" s="73">
        <v>0</v>
      </c>
      <c r="AG579" s="15">
        <f t="shared" si="151"/>
        <v>0</v>
      </c>
      <c r="AH579" s="16">
        <f t="shared" si="152"/>
        <v>0</v>
      </c>
      <c r="AI579" s="17">
        <f t="shared" si="153"/>
        <v>37</v>
      </c>
      <c r="AJ579" s="12">
        <f>VLOOKUP(A579,'PreK Proxy - Sept. 2024'!$A$2:$I$674,9,FALSE)</f>
        <v>37</v>
      </c>
      <c r="AK579" s="18">
        <f t="shared" si="154"/>
        <v>1</v>
      </c>
    </row>
    <row r="580" spans="1:37" x14ac:dyDescent="0.35">
      <c r="A580" s="11" t="s">
        <v>1164</v>
      </c>
      <c r="B580" s="12" t="s">
        <v>1165</v>
      </c>
      <c r="C580" s="54" t="s">
        <v>1385</v>
      </c>
      <c r="D580" s="54" t="s">
        <v>68</v>
      </c>
      <c r="E580" s="66">
        <f t="shared" si="140"/>
        <v>50</v>
      </c>
      <c r="F580" s="13">
        <f t="shared" si="141"/>
        <v>50</v>
      </c>
      <c r="G580" s="67">
        <f t="shared" si="142"/>
        <v>0</v>
      </c>
      <c r="H580" s="64">
        <f t="shared" si="155"/>
        <v>50</v>
      </c>
      <c r="I580" s="80">
        <v>0</v>
      </c>
      <c r="J580" s="80">
        <v>0</v>
      </c>
      <c r="K580" s="59">
        <f t="shared" si="143"/>
        <v>0</v>
      </c>
      <c r="L580" s="59">
        <v>0</v>
      </c>
      <c r="M580" s="59">
        <v>50</v>
      </c>
      <c r="N580" s="59">
        <f t="shared" si="144"/>
        <v>50</v>
      </c>
      <c r="O580" s="15">
        <f t="shared" si="145"/>
        <v>0</v>
      </c>
      <c r="P580" s="87">
        <f t="shared" si="146"/>
        <v>0</v>
      </c>
      <c r="Q580" s="110">
        <v>0</v>
      </c>
      <c r="R580" s="59">
        <v>0</v>
      </c>
      <c r="S580" s="14">
        <v>0</v>
      </c>
      <c r="T580" s="59">
        <v>0</v>
      </c>
      <c r="U580" s="15">
        <f t="shared" ref="U580:U643" si="156">S580+T580</f>
        <v>0</v>
      </c>
      <c r="V580" s="14">
        <v>0</v>
      </c>
      <c r="W580" s="15">
        <f t="shared" si="147"/>
        <v>0</v>
      </c>
      <c r="X580" s="14">
        <v>0</v>
      </c>
      <c r="Y580" s="75">
        <v>0</v>
      </c>
      <c r="Z580" s="87">
        <f t="shared" si="148"/>
        <v>0</v>
      </c>
      <c r="AA580" s="14">
        <f t="shared" si="149"/>
        <v>0</v>
      </c>
      <c r="AB580" s="75">
        <v>0</v>
      </c>
      <c r="AC580" s="75">
        <v>0</v>
      </c>
      <c r="AD580" s="59">
        <f t="shared" si="150"/>
        <v>0</v>
      </c>
      <c r="AE580" s="73">
        <v>0</v>
      </c>
      <c r="AF580" s="73">
        <v>0</v>
      </c>
      <c r="AG580" s="15">
        <f t="shared" si="151"/>
        <v>0</v>
      </c>
      <c r="AH580" s="16">
        <f t="shared" si="152"/>
        <v>0</v>
      </c>
      <c r="AI580" s="17">
        <f t="shared" si="153"/>
        <v>50</v>
      </c>
      <c r="AJ580" s="12">
        <f>VLOOKUP(A580,'PreK Proxy - Sept. 2024'!$A$2:$I$674,9,FALSE)</f>
        <v>50</v>
      </c>
      <c r="AK580" s="18">
        <f t="shared" si="154"/>
        <v>1</v>
      </c>
    </row>
    <row r="581" spans="1:37" x14ac:dyDescent="0.35">
      <c r="A581" s="11" t="s">
        <v>1166</v>
      </c>
      <c r="B581" s="12" t="s">
        <v>1167</v>
      </c>
      <c r="C581" s="54" t="s">
        <v>1385</v>
      </c>
      <c r="D581" s="54" t="s">
        <v>68</v>
      </c>
      <c r="E581" s="66">
        <f t="shared" ref="E581:E644" si="157">F581+G581</f>
        <v>69</v>
      </c>
      <c r="F581" s="13">
        <f t="shared" ref="F581:F644" si="158">N581+R581+S581+V581+X581+AG581</f>
        <v>69</v>
      </c>
      <c r="G581" s="67">
        <f t="shared" ref="G581:G644" si="159">K581+Q581+AD581</f>
        <v>0</v>
      </c>
      <c r="H581" s="64">
        <f t="shared" si="155"/>
        <v>69</v>
      </c>
      <c r="I581" s="80">
        <v>0</v>
      </c>
      <c r="J581" s="80">
        <v>0</v>
      </c>
      <c r="K581" s="59">
        <f t="shared" ref="K581:K644" si="160">I581+J581</f>
        <v>0</v>
      </c>
      <c r="L581" s="59">
        <v>0</v>
      </c>
      <c r="M581" s="59">
        <v>69</v>
      </c>
      <c r="N581" s="59">
        <f t="shared" ref="N581:N644" si="161">L581+M581</f>
        <v>69</v>
      </c>
      <c r="O581" s="15">
        <f t="shared" ref="O581:O644" si="162">T581+Y581</f>
        <v>0</v>
      </c>
      <c r="P581" s="87">
        <f t="shared" ref="P581:P644" si="163">Q581+R581</f>
        <v>0</v>
      </c>
      <c r="Q581" s="110">
        <v>0</v>
      </c>
      <c r="R581" s="59">
        <v>0</v>
      </c>
      <c r="S581" s="14">
        <v>0</v>
      </c>
      <c r="T581" s="59">
        <v>0</v>
      </c>
      <c r="U581" s="15">
        <f t="shared" si="156"/>
        <v>0</v>
      </c>
      <c r="V581" s="14">
        <v>0</v>
      </c>
      <c r="W581" s="15">
        <f t="shared" ref="W581:W644" si="164">V581</f>
        <v>0</v>
      </c>
      <c r="X581" s="14">
        <v>0</v>
      </c>
      <c r="Y581" s="75">
        <v>0</v>
      </c>
      <c r="Z581" s="87">
        <f t="shared" ref="Z581:Z644" si="165">X581+Y581</f>
        <v>0</v>
      </c>
      <c r="AA581" s="14">
        <f t="shared" ref="AA581:AA644" si="166">AD581+AG581</f>
        <v>0</v>
      </c>
      <c r="AB581" s="75">
        <v>0</v>
      </c>
      <c r="AC581" s="75">
        <v>0</v>
      </c>
      <c r="AD581" s="59">
        <f t="shared" ref="AD581:AD644" si="167">AB581+AC581</f>
        <v>0</v>
      </c>
      <c r="AE581" s="73">
        <v>0</v>
      </c>
      <c r="AF581" s="73">
        <v>0</v>
      </c>
      <c r="AG581" s="15">
        <f t="shared" ref="AG581:AG644" si="168">AE581+AF581</f>
        <v>0</v>
      </c>
      <c r="AH581" s="16">
        <f t="shared" ref="AH581:AH644" si="169">J581+Q581+AC581</f>
        <v>0</v>
      </c>
      <c r="AI581" s="17">
        <f t="shared" ref="AI581:AI644" si="170">M581+R581+S581+V581+X581+AF581</f>
        <v>69</v>
      </c>
      <c r="AJ581" s="12">
        <f>VLOOKUP(A581,'PreK Proxy - Sept. 2024'!$A$2:$I$674,9,FALSE)</f>
        <v>108</v>
      </c>
      <c r="AK581" s="18">
        <f t="shared" ref="AK581:AK644" si="171">IFERROR(MIN(100%,((AI581+AH581)/AJ581)),0)</f>
        <v>0.63888888888888884</v>
      </c>
    </row>
    <row r="582" spans="1:37" x14ac:dyDescent="0.35">
      <c r="A582" s="11" t="s">
        <v>1168</v>
      </c>
      <c r="B582" s="12" t="s">
        <v>1169</v>
      </c>
      <c r="C582" s="54" t="s">
        <v>1385</v>
      </c>
      <c r="D582" s="54" t="s">
        <v>68</v>
      </c>
      <c r="E582" s="66">
        <f t="shared" si="157"/>
        <v>54</v>
      </c>
      <c r="F582" s="13">
        <f t="shared" si="158"/>
        <v>54</v>
      </c>
      <c r="G582" s="67">
        <f t="shared" si="159"/>
        <v>0</v>
      </c>
      <c r="H582" s="64">
        <f t="shared" si="155"/>
        <v>54</v>
      </c>
      <c r="I582" s="80">
        <v>0</v>
      </c>
      <c r="J582" s="80">
        <v>0</v>
      </c>
      <c r="K582" s="59">
        <f t="shared" si="160"/>
        <v>0</v>
      </c>
      <c r="L582" s="59">
        <v>18</v>
      </c>
      <c r="M582" s="59">
        <v>36</v>
      </c>
      <c r="N582" s="59">
        <f t="shared" si="161"/>
        <v>54</v>
      </c>
      <c r="O582" s="15">
        <f t="shared" si="162"/>
        <v>0</v>
      </c>
      <c r="P582" s="87">
        <f t="shared" si="163"/>
        <v>0</v>
      </c>
      <c r="Q582" s="110">
        <v>0</v>
      </c>
      <c r="R582" s="59">
        <v>0</v>
      </c>
      <c r="S582" s="14">
        <v>0</v>
      </c>
      <c r="T582" s="59">
        <v>0</v>
      </c>
      <c r="U582" s="15">
        <f t="shared" si="156"/>
        <v>0</v>
      </c>
      <c r="V582" s="14">
        <v>0</v>
      </c>
      <c r="W582" s="15">
        <f t="shared" si="164"/>
        <v>0</v>
      </c>
      <c r="X582" s="14">
        <v>0</v>
      </c>
      <c r="Y582" s="75">
        <v>0</v>
      </c>
      <c r="Z582" s="87">
        <f t="shared" si="165"/>
        <v>0</v>
      </c>
      <c r="AA582" s="14">
        <f t="shared" si="166"/>
        <v>0</v>
      </c>
      <c r="AB582" s="75">
        <v>0</v>
      </c>
      <c r="AC582" s="75">
        <v>0</v>
      </c>
      <c r="AD582" s="59">
        <f t="shared" si="167"/>
        <v>0</v>
      </c>
      <c r="AE582" s="73">
        <v>0</v>
      </c>
      <c r="AF582" s="73">
        <v>0</v>
      </c>
      <c r="AG582" s="15">
        <f t="shared" si="168"/>
        <v>0</v>
      </c>
      <c r="AH582" s="16">
        <f t="shared" si="169"/>
        <v>0</v>
      </c>
      <c r="AI582" s="17">
        <f t="shared" si="170"/>
        <v>36</v>
      </c>
      <c r="AJ582" s="12">
        <f>VLOOKUP(A582,'PreK Proxy - Sept. 2024'!$A$2:$I$674,9,FALSE)</f>
        <v>39</v>
      </c>
      <c r="AK582" s="18">
        <f t="shared" si="171"/>
        <v>0.92307692307692313</v>
      </c>
    </row>
    <row r="583" spans="1:37" x14ac:dyDescent="0.35">
      <c r="A583" s="11" t="s">
        <v>1170</v>
      </c>
      <c r="B583" s="12" t="s">
        <v>1171</v>
      </c>
      <c r="C583" s="54" t="s">
        <v>1385</v>
      </c>
      <c r="D583" s="54" t="s">
        <v>68</v>
      </c>
      <c r="E583" s="66">
        <f t="shared" si="157"/>
        <v>40</v>
      </c>
      <c r="F583" s="13">
        <f t="shared" si="158"/>
        <v>40</v>
      </c>
      <c r="G583" s="67">
        <f t="shared" si="159"/>
        <v>0</v>
      </c>
      <c r="H583" s="64">
        <f t="shared" si="155"/>
        <v>40</v>
      </c>
      <c r="I583" s="80">
        <v>0</v>
      </c>
      <c r="J583" s="80">
        <v>0</v>
      </c>
      <c r="K583" s="59">
        <f t="shared" si="160"/>
        <v>0</v>
      </c>
      <c r="L583" s="59">
        <v>0</v>
      </c>
      <c r="M583" s="59">
        <v>40</v>
      </c>
      <c r="N583" s="59">
        <f t="shared" si="161"/>
        <v>40</v>
      </c>
      <c r="O583" s="15">
        <f t="shared" si="162"/>
        <v>0</v>
      </c>
      <c r="P583" s="87">
        <f t="shared" si="163"/>
        <v>0</v>
      </c>
      <c r="Q583" s="110">
        <v>0</v>
      </c>
      <c r="R583" s="59">
        <v>0</v>
      </c>
      <c r="S583" s="14">
        <v>0</v>
      </c>
      <c r="T583" s="59">
        <v>0</v>
      </c>
      <c r="U583" s="15">
        <f t="shared" si="156"/>
        <v>0</v>
      </c>
      <c r="V583" s="14">
        <v>0</v>
      </c>
      <c r="W583" s="15">
        <f t="shared" si="164"/>
        <v>0</v>
      </c>
      <c r="X583" s="14">
        <v>0</v>
      </c>
      <c r="Y583" s="75">
        <v>0</v>
      </c>
      <c r="Z583" s="87">
        <f t="shared" si="165"/>
        <v>0</v>
      </c>
      <c r="AA583" s="14">
        <f t="shared" si="166"/>
        <v>0</v>
      </c>
      <c r="AB583" s="75">
        <v>0</v>
      </c>
      <c r="AC583" s="75">
        <v>0</v>
      </c>
      <c r="AD583" s="59">
        <f t="shared" si="167"/>
        <v>0</v>
      </c>
      <c r="AE583" s="73">
        <v>0</v>
      </c>
      <c r="AF583" s="73">
        <v>0</v>
      </c>
      <c r="AG583" s="15">
        <f t="shared" si="168"/>
        <v>0</v>
      </c>
      <c r="AH583" s="16">
        <f t="shared" si="169"/>
        <v>0</v>
      </c>
      <c r="AI583" s="17">
        <f t="shared" si="170"/>
        <v>40</v>
      </c>
      <c r="AJ583" s="12">
        <f>VLOOKUP(A583,'PreK Proxy - Sept. 2024'!$A$2:$I$674,9,FALSE)</f>
        <v>40</v>
      </c>
      <c r="AK583" s="18">
        <f t="shared" si="171"/>
        <v>1</v>
      </c>
    </row>
    <row r="584" spans="1:37" x14ac:dyDescent="0.35">
      <c r="A584" s="11" t="s">
        <v>1172</v>
      </c>
      <c r="B584" s="12" t="s">
        <v>1173</v>
      </c>
      <c r="C584" s="54" t="s">
        <v>1428</v>
      </c>
      <c r="D584" s="54" t="s">
        <v>68</v>
      </c>
      <c r="E584" s="66">
        <f t="shared" si="157"/>
        <v>60</v>
      </c>
      <c r="F584" s="13">
        <f t="shared" si="158"/>
        <v>60</v>
      </c>
      <c r="G584" s="67">
        <f t="shared" si="159"/>
        <v>0</v>
      </c>
      <c r="H584" s="64">
        <f t="shared" si="155"/>
        <v>60</v>
      </c>
      <c r="I584" s="80">
        <v>0</v>
      </c>
      <c r="J584" s="80">
        <v>0</v>
      </c>
      <c r="K584" s="59">
        <f t="shared" si="160"/>
        <v>0</v>
      </c>
      <c r="L584" s="59">
        <v>0</v>
      </c>
      <c r="M584" s="59">
        <v>60</v>
      </c>
      <c r="N584" s="59">
        <f t="shared" si="161"/>
        <v>60</v>
      </c>
      <c r="O584" s="15">
        <f t="shared" si="162"/>
        <v>0</v>
      </c>
      <c r="P584" s="87">
        <f t="shared" si="163"/>
        <v>0</v>
      </c>
      <c r="Q584" s="110">
        <v>0</v>
      </c>
      <c r="R584" s="59">
        <v>0</v>
      </c>
      <c r="S584" s="14">
        <v>0</v>
      </c>
      <c r="T584" s="59">
        <v>0</v>
      </c>
      <c r="U584" s="15">
        <f t="shared" si="156"/>
        <v>0</v>
      </c>
      <c r="V584" s="14">
        <v>0</v>
      </c>
      <c r="W584" s="15">
        <f t="shared" si="164"/>
        <v>0</v>
      </c>
      <c r="X584" s="14">
        <v>0</v>
      </c>
      <c r="Y584" s="75">
        <v>0</v>
      </c>
      <c r="Z584" s="87">
        <f t="shared" si="165"/>
        <v>0</v>
      </c>
      <c r="AA584" s="14">
        <f t="shared" si="166"/>
        <v>0</v>
      </c>
      <c r="AB584" s="75">
        <v>0</v>
      </c>
      <c r="AC584" s="75">
        <v>0</v>
      </c>
      <c r="AD584" s="59">
        <f t="shared" si="167"/>
        <v>0</v>
      </c>
      <c r="AE584" s="73">
        <v>0</v>
      </c>
      <c r="AF584" s="73">
        <v>0</v>
      </c>
      <c r="AG584" s="15">
        <f t="shared" si="168"/>
        <v>0</v>
      </c>
      <c r="AH584" s="16">
        <f t="shared" si="169"/>
        <v>0</v>
      </c>
      <c r="AI584" s="17">
        <f t="shared" si="170"/>
        <v>60</v>
      </c>
      <c r="AJ584" s="12">
        <f>VLOOKUP(A584,'PreK Proxy - Sept. 2024'!$A$2:$I$674,9,FALSE)</f>
        <v>100</v>
      </c>
      <c r="AK584" s="18">
        <f t="shared" si="171"/>
        <v>0.6</v>
      </c>
    </row>
    <row r="585" spans="1:37" x14ac:dyDescent="0.35">
      <c r="A585" s="11" t="s">
        <v>1174</v>
      </c>
      <c r="B585" s="12" t="s">
        <v>1175</v>
      </c>
      <c r="C585" s="54" t="s">
        <v>1428</v>
      </c>
      <c r="D585" s="54" t="s">
        <v>68</v>
      </c>
      <c r="E585" s="66">
        <f t="shared" si="157"/>
        <v>58</v>
      </c>
      <c r="F585" s="13">
        <f t="shared" si="158"/>
        <v>39</v>
      </c>
      <c r="G585" s="67">
        <f t="shared" si="159"/>
        <v>19</v>
      </c>
      <c r="H585" s="64">
        <f t="shared" si="155"/>
        <v>58</v>
      </c>
      <c r="I585" s="80">
        <v>19</v>
      </c>
      <c r="J585" s="80">
        <v>0</v>
      </c>
      <c r="K585" s="59">
        <f t="shared" si="160"/>
        <v>19</v>
      </c>
      <c r="L585" s="59">
        <v>0</v>
      </c>
      <c r="M585" s="59">
        <v>39</v>
      </c>
      <c r="N585" s="59">
        <f t="shared" si="161"/>
        <v>39</v>
      </c>
      <c r="O585" s="15">
        <f t="shared" si="162"/>
        <v>0</v>
      </c>
      <c r="P585" s="87">
        <f t="shared" si="163"/>
        <v>0</v>
      </c>
      <c r="Q585" s="110">
        <v>0</v>
      </c>
      <c r="R585" s="59">
        <v>0</v>
      </c>
      <c r="S585" s="14">
        <v>0</v>
      </c>
      <c r="T585" s="59">
        <v>0</v>
      </c>
      <c r="U585" s="15">
        <f t="shared" si="156"/>
        <v>0</v>
      </c>
      <c r="V585" s="14">
        <v>0</v>
      </c>
      <c r="W585" s="15">
        <f t="shared" si="164"/>
        <v>0</v>
      </c>
      <c r="X585" s="14">
        <v>0</v>
      </c>
      <c r="Y585" s="75">
        <v>0</v>
      </c>
      <c r="Z585" s="87">
        <f t="shared" si="165"/>
        <v>0</v>
      </c>
      <c r="AA585" s="14">
        <f t="shared" si="166"/>
        <v>0</v>
      </c>
      <c r="AB585" s="75">
        <v>0</v>
      </c>
      <c r="AC585" s="75">
        <v>0</v>
      </c>
      <c r="AD585" s="59">
        <f t="shared" si="167"/>
        <v>0</v>
      </c>
      <c r="AE585" s="73">
        <v>0</v>
      </c>
      <c r="AF585" s="73">
        <v>0</v>
      </c>
      <c r="AG585" s="15">
        <f t="shared" si="168"/>
        <v>0</v>
      </c>
      <c r="AH585" s="16">
        <f t="shared" si="169"/>
        <v>0</v>
      </c>
      <c r="AI585" s="17">
        <f t="shared" si="170"/>
        <v>39</v>
      </c>
      <c r="AJ585" s="12">
        <f>VLOOKUP(A585,'PreK Proxy - Sept. 2024'!$A$2:$I$674,9,FALSE)</f>
        <v>37</v>
      </c>
      <c r="AK585" s="18">
        <f t="shared" si="171"/>
        <v>1</v>
      </c>
    </row>
    <row r="586" spans="1:37" x14ac:dyDescent="0.35">
      <c r="A586" s="11" t="s">
        <v>1176</v>
      </c>
      <c r="B586" s="12" t="s">
        <v>1177</v>
      </c>
      <c r="C586" s="54" t="s">
        <v>1428</v>
      </c>
      <c r="D586" s="54" t="s">
        <v>68</v>
      </c>
      <c r="E586" s="66">
        <f t="shared" si="157"/>
        <v>165</v>
      </c>
      <c r="F586" s="13">
        <f t="shared" si="158"/>
        <v>161</v>
      </c>
      <c r="G586" s="67">
        <f t="shared" si="159"/>
        <v>4</v>
      </c>
      <c r="H586" s="64">
        <f t="shared" si="155"/>
        <v>165</v>
      </c>
      <c r="I586" s="80">
        <v>0</v>
      </c>
      <c r="J586" s="80">
        <v>4</v>
      </c>
      <c r="K586" s="59">
        <f t="shared" si="160"/>
        <v>4</v>
      </c>
      <c r="L586" s="59">
        <v>0</v>
      </c>
      <c r="M586" s="59">
        <v>161</v>
      </c>
      <c r="N586" s="59">
        <f t="shared" si="161"/>
        <v>161</v>
      </c>
      <c r="O586" s="15">
        <f t="shared" si="162"/>
        <v>0</v>
      </c>
      <c r="P586" s="87">
        <f t="shared" si="163"/>
        <v>0</v>
      </c>
      <c r="Q586" s="110">
        <v>0</v>
      </c>
      <c r="R586" s="59">
        <v>0</v>
      </c>
      <c r="S586" s="14">
        <v>0</v>
      </c>
      <c r="T586" s="59">
        <v>0</v>
      </c>
      <c r="U586" s="15">
        <f t="shared" si="156"/>
        <v>0</v>
      </c>
      <c r="V586" s="14">
        <v>0</v>
      </c>
      <c r="W586" s="15">
        <f t="shared" si="164"/>
        <v>0</v>
      </c>
      <c r="X586" s="14">
        <v>0</v>
      </c>
      <c r="Y586" s="75">
        <v>0</v>
      </c>
      <c r="Z586" s="87">
        <f t="shared" si="165"/>
        <v>0</v>
      </c>
      <c r="AA586" s="14">
        <f t="shared" si="166"/>
        <v>0</v>
      </c>
      <c r="AB586" s="75">
        <v>0</v>
      </c>
      <c r="AC586" s="75">
        <v>0</v>
      </c>
      <c r="AD586" s="59">
        <f t="shared" si="167"/>
        <v>0</v>
      </c>
      <c r="AE586" s="73">
        <v>0</v>
      </c>
      <c r="AF586" s="73">
        <v>0</v>
      </c>
      <c r="AG586" s="15">
        <f t="shared" si="168"/>
        <v>0</v>
      </c>
      <c r="AH586" s="16">
        <f t="shared" si="169"/>
        <v>4</v>
      </c>
      <c r="AI586" s="17">
        <f t="shared" si="170"/>
        <v>161</v>
      </c>
      <c r="AJ586" s="12">
        <f>VLOOKUP(A586,'PreK Proxy - Sept. 2024'!$A$2:$I$674,9,FALSE)</f>
        <v>326</v>
      </c>
      <c r="AK586" s="18">
        <f t="shared" si="171"/>
        <v>0.50613496932515334</v>
      </c>
    </row>
    <row r="587" spans="1:37" x14ac:dyDescent="0.35">
      <c r="A587" s="11" t="s">
        <v>1178</v>
      </c>
      <c r="B587" s="12" t="s">
        <v>1179</v>
      </c>
      <c r="C587" s="54" t="s">
        <v>1428</v>
      </c>
      <c r="D587" s="54" t="s">
        <v>68</v>
      </c>
      <c r="E587" s="66">
        <f t="shared" si="157"/>
        <v>43</v>
      </c>
      <c r="F587" s="13">
        <f t="shared" si="158"/>
        <v>43</v>
      </c>
      <c r="G587" s="67">
        <f t="shared" si="159"/>
        <v>0</v>
      </c>
      <c r="H587" s="64">
        <f t="shared" si="155"/>
        <v>17</v>
      </c>
      <c r="I587" s="80">
        <v>0</v>
      </c>
      <c r="J587" s="80">
        <v>0</v>
      </c>
      <c r="K587" s="59">
        <f t="shared" si="160"/>
        <v>0</v>
      </c>
      <c r="L587" s="59">
        <v>0</v>
      </c>
      <c r="M587" s="59">
        <v>17</v>
      </c>
      <c r="N587" s="59">
        <f t="shared" si="161"/>
        <v>17</v>
      </c>
      <c r="O587" s="15">
        <f t="shared" si="162"/>
        <v>0</v>
      </c>
      <c r="P587" s="87">
        <f t="shared" si="163"/>
        <v>26</v>
      </c>
      <c r="Q587" s="110">
        <v>0</v>
      </c>
      <c r="R587" s="59">
        <v>26</v>
      </c>
      <c r="S587" s="14">
        <v>0</v>
      </c>
      <c r="T587" s="59">
        <v>0</v>
      </c>
      <c r="U587" s="15">
        <f t="shared" si="156"/>
        <v>0</v>
      </c>
      <c r="V587" s="14">
        <v>0</v>
      </c>
      <c r="W587" s="15">
        <f t="shared" si="164"/>
        <v>0</v>
      </c>
      <c r="X587" s="14">
        <v>0</v>
      </c>
      <c r="Y587" s="75">
        <v>0</v>
      </c>
      <c r="Z587" s="87">
        <f t="shared" si="165"/>
        <v>0</v>
      </c>
      <c r="AA587" s="14">
        <f t="shared" si="166"/>
        <v>0</v>
      </c>
      <c r="AB587" s="75">
        <v>0</v>
      </c>
      <c r="AC587" s="75">
        <v>0</v>
      </c>
      <c r="AD587" s="59">
        <f t="shared" si="167"/>
        <v>0</v>
      </c>
      <c r="AE587" s="73">
        <v>0</v>
      </c>
      <c r="AF587" s="73">
        <v>0</v>
      </c>
      <c r="AG587" s="15">
        <f t="shared" si="168"/>
        <v>0</v>
      </c>
      <c r="AH587" s="16">
        <f t="shared" si="169"/>
        <v>0</v>
      </c>
      <c r="AI587" s="17">
        <f t="shared" si="170"/>
        <v>43</v>
      </c>
      <c r="AJ587" s="12">
        <f>VLOOKUP(A587,'PreK Proxy - Sept. 2024'!$A$2:$I$674,9,FALSE)</f>
        <v>54</v>
      </c>
      <c r="AK587" s="18">
        <f t="shared" si="171"/>
        <v>0.79629629629629628</v>
      </c>
    </row>
    <row r="588" spans="1:37" x14ac:dyDescent="0.35">
      <c r="A588" s="11" t="s">
        <v>1180</v>
      </c>
      <c r="B588" s="12" t="s">
        <v>1181</v>
      </c>
      <c r="C588" s="54" t="s">
        <v>1428</v>
      </c>
      <c r="D588" s="54" t="s">
        <v>68</v>
      </c>
      <c r="E588" s="66">
        <f t="shared" si="157"/>
        <v>35</v>
      </c>
      <c r="F588" s="13">
        <f t="shared" si="158"/>
        <v>35</v>
      </c>
      <c r="G588" s="67">
        <f t="shared" si="159"/>
        <v>0</v>
      </c>
      <c r="H588" s="64">
        <f t="shared" si="155"/>
        <v>35</v>
      </c>
      <c r="I588" s="80">
        <v>0</v>
      </c>
      <c r="J588" s="80">
        <v>0</v>
      </c>
      <c r="K588" s="59">
        <f t="shared" si="160"/>
        <v>0</v>
      </c>
      <c r="L588" s="59">
        <v>0</v>
      </c>
      <c r="M588" s="59">
        <v>35</v>
      </c>
      <c r="N588" s="59">
        <f t="shared" si="161"/>
        <v>35</v>
      </c>
      <c r="O588" s="15">
        <f t="shared" si="162"/>
        <v>0</v>
      </c>
      <c r="P588" s="87">
        <f t="shared" si="163"/>
        <v>0</v>
      </c>
      <c r="Q588" s="110">
        <v>0</v>
      </c>
      <c r="R588" s="59">
        <v>0</v>
      </c>
      <c r="S588" s="14">
        <v>0</v>
      </c>
      <c r="T588" s="59">
        <v>0</v>
      </c>
      <c r="U588" s="15">
        <f t="shared" si="156"/>
        <v>0</v>
      </c>
      <c r="V588" s="14">
        <v>0</v>
      </c>
      <c r="W588" s="15">
        <f t="shared" si="164"/>
        <v>0</v>
      </c>
      <c r="X588" s="14">
        <v>0</v>
      </c>
      <c r="Y588" s="75">
        <v>0</v>
      </c>
      <c r="Z588" s="87">
        <f t="shared" si="165"/>
        <v>0</v>
      </c>
      <c r="AA588" s="14">
        <f t="shared" si="166"/>
        <v>0</v>
      </c>
      <c r="AB588" s="75">
        <v>0</v>
      </c>
      <c r="AC588" s="75">
        <v>0</v>
      </c>
      <c r="AD588" s="59">
        <f t="shared" si="167"/>
        <v>0</v>
      </c>
      <c r="AE588" s="73">
        <v>0</v>
      </c>
      <c r="AF588" s="73">
        <v>0</v>
      </c>
      <c r="AG588" s="15">
        <f t="shared" si="168"/>
        <v>0</v>
      </c>
      <c r="AH588" s="16">
        <f t="shared" si="169"/>
        <v>0</v>
      </c>
      <c r="AI588" s="17">
        <f t="shared" si="170"/>
        <v>35</v>
      </c>
      <c r="AJ588" s="12">
        <f>VLOOKUP(A588,'PreK Proxy - Sept. 2024'!$A$2:$I$674,9,FALSE)</f>
        <v>33</v>
      </c>
      <c r="AK588" s="18">
        <f t="shared" si="171"/>
        <v>1</v>
      </c>
    </row>
    <row r="589" spans="1:37" x14ac:dyDescent="0.35">
      <c r="A589" s="11" t="s">
        <v>1182</v>
      </c>
      <c r="B589" s="12" t="s">
        <v>1183</v>
      </c>
      <c r="C589" s="54" t="s">
        <v>1428</v>
      </c>
      <c r="D589" s="54" t="s">
        <v>68</v>
      </c>
      <c r="E589" s="66">
        <f t="shared" si="157"/>
        <v>50</v>
      </c>
      <c r="F589" s="13">
        <f t="shared" si="158"/>
        <v>50</v>
      </c>
      <c r="G589" s="67">
        <f t="shared" si="159"/>
        <v>0</v>
      </c>
      <c r="H589" s="64">
        <f t="shared" si="155"/>
        <v>50</v>
      </c>
      <c r="I589" s="80">
        <v>0</v>
      </c>
      <c r="J589" s="80">
        <v>0</v>
      </c>
      <c r="K589" s="59">
        <f t="shared" si="160"/>
        <v>0</v>
      </c>
      <c r="L589" s="59">
        <v>0</v>
      </c>
      <c r="M589" s="59">
        <v>50</v>
      </c>
      <c r="N589" s="59">
        <f t="shared" si="161"/>
        <v>50</v>
      </c>
      <c r="O589" s="15">
        <f t="shared" si="162"/>
        <v>0</v>
      </c>
      <c r="P589" s="87">
        <f t="shared" si="163"/>
        <v>0</v>
      </c>
      <c r="Q589" s="110">
        <v>0</v>
      </c>
      <c r="R589" s="59">
        <v>0</v>
      </c>
      <c r="S589" s="14">
        <v>0</v>
      </c>
      <c r="T589" s="59">
        <v>0</v>
      </c>
      <c r="U589" s="15">
        <f t="shared" si="156"/>
        <v>0</v>
      </c>
      <c r="V589" s="14">
        <v>0</v>
      </c>
      <c r="W589" s="15">
        <f t="shared" si="164"/>
        <v>0</v>
      </c>
      <c r="X589" s="14">
        <v>0</v>
      </c>
      <c r="Y589" s="75">
        <v>0</v>
      </c>
      <c r="Z589" s="87">
        <f t="shared" si="165"/>
        <v>0</v>
      </c>
      <c r="AA589" s="14">
        <f t="shared" si="166"/>
        <v>0</v>
      </c>
      <c r="AB589" s="75">
        <v>0</v>
      </c>
      <c r="AC589" s="75">
        <v>0</v>
      </c>
      <c r="AD589" s="59">
        <f t="shared" si="167"/>
        <v>0</v>
      </c>
      <c r="AE589" s="73">
        <v>0</v>
      </c>
      <c r="AF589" s="73">
        <v>0</v>
      </c>
      <c r="AG589" s="15">
        <f t="shared" si="168"/>
        <v>0</v>
      </c>
      <c r="AH589" s="16">
        <f t="shared" si="169"/>
        <v>0</v>
      </c>
      <c r="AI589" s="17">
        <f t="shared" si="170"/>
        <v>50</v>
      </c>
      <c r="AJ589" s="12">
        <f>VLOOKUP(A589,'PreK Proxy - Sept. 2024'!$A$2:$I$674,9,FALSE)</f>
        <v>51</v>
      </c>
      <c r="AK589" s="18">
        <f t="shared" si="171"/>
        <v>0.98039215686274506</v>
      </c>
    </row>
    <row r="590" spans="1:37" x14ac:dyDescent="0.35">
      <c r="A590" s="11" t="s">
        <v>1184</v>
      </c>
      <c r="B590" s="12" t="s">
        <v>1185</v>
      </c>
      <c r="C590" s="54" t="s">
        <v>1427</v>
      </c>
      <c r="D590" s="54" t="s">
        <v>251</v>
      </c>
      <c r="E590" s="66">
        <f t="shared" si="157"/>
        <v>323</v>
      </c>
      <c r="F590" s="13">
        <f t="shared" si="158"/>
        <v>301</v>
      </c>
      <c r="G590" s="67">
        <f t="shared" si="159"/>
        <v>22</v>
      </c>
      <c r="H590" s="64">
        <f t="shared" si="155"/>
        <v>307</v>
      </c>
      <c r="I590" s="80">
        <v>0</v>
      </c>
      <c r="J590" s="80">
        <v>22</v>
      </c>
      <c r="K590" s="59">
        <f t="shared" si="160"/>
        <v>22</v>
      </c>
      <c r="L590" s="59">
        <v>34</v>
      </c>
      <c r="M590" s="59">
        <v>251</v>
      </c>
      <c r="N590" s="59">
        <f t="shared" si="161"/>
        <v>285</v>
      </c>
      <c r="O590" s="15">
        <f t="shared" si="162"/>
        <v>107</v>
      </c>
      <c r="P590" s="87">
        <f t="shared" si="163"/>
        <v>0</v>
      </c>
      <c r="Q590" s="110">
        <v>0</v>
      </c>
      <c r="R590" s="59">
        <v>0</v>
      </c>
      <c r="S590" s="14">
        <v>0</v>
      </c>
      <c r="T590" s="59">
        <v>0</v>
      </c>
      <c r="U590" s="15">
        <f t="shared" si="156"/>
        <v>0</v>
      </c>
      <c r="V590" s="14">
        <v>0</v>
      </c>
      <c r="W590" s="15">
        <f t="shared" si="164"/>
        <v>0</v>
      </c>
      <c r="X590" s="14">
        <v>16</v>
      </c>
      <c r="Y590" s="75">
        <v>107</v>
      </c>
      <c r="Z590" s="87">
        <f t="shared" si="165"/>
        <v>123</v>
      </c>
      <c r="AA590" s="14">
        <f t="shared" si="166"/>
        <v>0</v>
      </c>
      <c r="AB590" s="75">
        <v>0</v>
      </c>
      <c r="AC590" s="75">
        <v>0</v>
      </c>
      <c r="AD590" s="59">
        <f t="shared" si="167"/>
        <v>0</v>
      </c>
      <c r="AE590" s="73">
        <v>0</v>
      </c>
      <c r="AF590" s="73">
        <v>0</v>
      </c>
      <c r="AG590" s="15">
        <f t="shared" si="168"/>
        <v>0</v>
      </c>
      <c r="AH590" s="16">
        <f t="shared" si="169"/>
        <v>22</v>
      </c>
      <c r="AI590" s="17">
        <f t="shared" si="170"/>
        <v>267</v>
      </c>
      <c r="AJ590" s="12">
        <f>VLOOKUP(A590,'PreK Proxy - Sept. 2024'!$A$2:$I$674,9,FALSE)</f>
        <v>415</v>
      </c>
      <c r="AK590" s="18">
        <f t="shared" si="171"/>
        <v>0.69638554216867465</v>
      </c>
    </row>
    <row r="591" spans="1:37" x14ac:dyDescent="0.35">
      <c r="A591" s="11" t="s">
        <v>1186</v>
      </c>
      <c r="B591" s="12" t="s">
        <v>1187</v>
      </c>
      <c r="C591" s="54" t="s">
        <v>1427</v>
      </c>
      <c r="D591" s="54" t="s">
        <v>251</v>
      </c>
      <c r="E591" s="66">
        <f t="shared" si="157"/>
        <v>40</v>
      </c>
      <c r="F591" s="13">
        <f t="shared" si="158"/>
        <v>40</v>
      </c>
      <c r="G591" s="67">
        <f t="shared" si="159"/>
        <v>0</v>
      </c>
      <c r="H591" s="64">
        <f t="shared" si="155"/>
        <v>2</v>
      </c>
      <c r="I591" s="80">
        <v>0</v>
      </c>
      <c r="J591" s="80">
        <v>0</v>
      </c>
      <c r="K591" s="59">
        <f t="shared" si="160"/>
        <v>0</v>
      </c>
      <c r="L591" s="59">
        <v>0</v>
      </c>
      <c r="M591" s="59">
        <v>2</v>
      </c>
      <c r="N591" s="59">
        <f t="shared" si="161"/>
        <v>2</v>
      </c>
      <c r="O591" s="15">
        <f t="shared" si="162"/>
        <v>0</v>
      </c>
      <c r="P591" s="87">
        <f t="shared" si="163"/>
        <v>38</v>
      </c>
      <c r="Q591" s="110">
        <v>0</v>
      </c>
      <c r="R591" s="59">
        <v>38</v>
      </c>
      <c r="S591" s="14">
        <v>0</v>
      </c>
      <c r="T591" s="59">
        <v>0</v>
      </c>
      <c r="U591" s="15">
        <f t="shared" si="156"/>
        <v>0</v>
      </c>
      <c r="V591" s="14">
        <v>0</v>
      </c>
      <c r="W591" s="15">
        <f t="shared" si="164"/>
        <v>0</v>
      </c>
      <c r="X591" s="14">
        <v>0</v>
      </c>
      <c r="Y591" s="75">
        <v>0</v>
      </c>
      <c r="Z591" s="87">
        <f t="shared" si="165"/>
        <v>0</v>
      </c>
      <c r="AA591" s="14">
        <f t="shared" si="166"/>
        <v>0</v>
      </c>
      <c r="AB591" s="75">
        <v>0</v>
      </c>
      <c r="AC591" s="75">
        <v>0</v>
      </c>
      <c r="AD591" s="59">
        <f t="shared" si="167"/>
        <v>0</v>
      </c>
      <c r="AE591" s="73">
        <v>0</v>
      </c>
      <c r="AF591" s="73">
        <v>0</v>
      </c>
      <c r="AG591" s="15">
        <f t="shared" si="168"/>
        <v>0</v>
      </c>
      <c r="AH591" s="16">
        <f t="shared" si="169"/>
        <v>0</v>
      </c>
      <c r="AI591" s="17">
        <f t="shared" si="170"/>
        <v>40</v>
      </c>
      <c r="AJ591" s="12">
        <f>VLOOKUP(A591,'PreK Proxy - Sept. 2024'!$A$2:$I$674,9,FALSE)</f>
        <v>68</v>
      </c>
      <c r="AK591" s="18">
        <f t="shared" si="171"/>
        <v>0.58823529411764708</v>
      </c>
    </row>
    <row r="592" spans="1:37" x14ac:dyDescent="0.35">
      <c r="A592" s="11" t="s">
        <v>1188</v>
      </c>
      <c r="B592" s="12" t="s">
        <v>1189</v>
      </c>
      <c r="C592" s="54" t="s">
        <v>1427</v>
      </c>
      <c r="D592" s="54" t="s">
        <v>251</v>
      </c>
      <c r="E592" s="66">
        <f t="shared" si="157"/>
        <v>86</v>
      </c>
      <c r="F592" s="13">
        <f t="shared" si="158"/>
        <v>84</v>
      </c>
      <c r="G592" s="67">
        <f t="shared" si="159"/>
        <v>2</v>
      </c>
      <c r="H592" s="64">
        <f t="shared" si="155"/>
        <v>86</v>
      </c>
      <c r="I592" s="80">
        <v>0</v>
      </c>
      <c r="J592" s="80">
        <v>2</v>
      </c>
      <c r="K592" s="59">
        <f t="shared" si="160"/>
        <v>2</v>
      </c>
      <c r="L592" s="59">
        <v>25</v>
      </c>
      <c r="M592" s="59">
        <v>59</v>
      </c>
      <c r="N592" s="59">
        <f t="shared" si="161"/>
        <v>84</v>
      </c>
      <c r="O592" s="15">
        <f t="shared" si="162"/>
        <v>0</v>
      </c>
      <c r="P592" s="87">
        <f t="shared" si="163"/>
        <v>0</v>
      </c>
      <c r="Q592" s="110">
        <v>0</v>
      </c>
      <c r="R592" s="59">
        <v>0</v>
      </c>
      <c r="S592" s="14">
        <v>0</v>
      </c>
      <c r="T592" s="59">
        <v>0</v>
      </c>
      <c r="U592" s="15">
        <f t="shared" si="156"/>
        <v>0</v>
      </c>
      <c r="V592" s="14">
        <v>0</v>
      </c>
      <c r="W592" s="15">
        <f t="shared" si="164"/>
        <v>0</v>
      </c>
      <c r="X592" s="14">
        <v>0</v>
      </c>
      <c r="Y592" s="75">
        <v>0</v>
      </c>
      <c r="Z592" s="87">
        <f t="shared" si="165"/>
        <v>0</v>
      </c>
      <c r="AA592" s="14">
        <f t="shared" si="166"/>
        <v>0</v>
      </c>
      <c r="AB592" s="75">
        <v>0</v>
      </c>
      <c r="AC592" s="75">
        <v>0</v>
      </c>
      <c r="AD592" s="59">
        <f t="shared" si="167"/>
        <v>0</v>
      </c>
      <c r="AE592" s="73">
        <v>0</v>
      </c>
      <c r="AF592" s="73">
        <v>0</v>
      </c>
      <c r="AG592" s="15">
        <f t="shared" si="168"/>
        <v>0</v>
      </c>
      <c r="AH592" s="16">
        <f t="shared" si="169"/>
        <v>2</v>
      </c>
      <c r="AI592" s="17">
        <f t="shared" si="170"/>
        <v>59</v>
      </c>
      <c r="AJ592" s="12">
        <f>VLOOKUP(A592,'PreK Proxy - Sept. 2024'!$A$2:$I$674,9,FALSE)</f>
        <v>103</v>
      </c>
      <c r="AK592" s="18">
        <f t="shared" si="171"/>
        <v>0.59223300970873782</v>
      </c>
    </row>
    <row r="593" spans="1:37" x14ac:dyDescent="0.35">
      <c r="A593" s="11" t="s">
        <v>1190</v>
      </c>
      <c r="B593" s="12" t="s">
        <v>1191</v>
      </c>
      <c r="C593" s="54" t="s">
        <v>1427</v>
      </c>
      <c r="D593" s="54" t="s">
        <v>251</v>
      </c>
      <c r="E593" s="66">
        <f t="shared" si="157"/>
        <v>84</v>
      </c>
      <c r="F593" s="13">
        <f t="shared" si="158"/>
        <v>84</v>
      </c>
      <c r="G593" s="67">
        <f t="shared" si="159"/>
        <v>0</v>
      </c>
      <c r="H593" s="64">
        <f t="shared" si="155"/>
        <v>42</v>
      </c>
      <c r="I593" s="80">
        <v>0</v>
      </c>
      <c r="J593" s="80">
        <v>0</v>
      </c>
      <c r="K593" s="59">
        <f t="shared" si="160"/>
        <v>0</v>
      </c>
      <c r="L593" s="59">
        <v>0</v>
      </c>
      <c r="M593" s="59">
        <v>42</v>
      </c>
      <c r="N593" s="59">
        <f t="shared" si="161"/>
        <v>42</v>
      </c>
      <c r="O593" s="15">
        <f t="shared" si="162"/>
        <v>0</v>
      </c>
      <c r="P593" s="87">
        <f t="shared" si="163"/>
        <v>42</v>
      </c>
      <c r="Q593" s="110">
        <v>0</v>
      </c>
      <c r="R593" s="59">
        <v>42</v>
      </c>
      <c r="S593" s="14">
        <v>0</v>
      </c>
      <c r="T593" s="59">
        <v>0</v>
      </c>
      <c r="U593" s="15">
        <f t="shared" si="156"/>
        <v>0</v>
      </c>
      <c r="V593" s="14">
        <v>0</v>
      </c>
      <c r="W593" s="15">
        <f t="shared" si="164"/>
        <v>0</v>
      </c>
      <c r="X593" s="14">
        <v>0</v>
      </c>
      <c r="Y593" s="75">
        <v>0</v>
      </c>
      <c r="Z593" s="87">
        <f t="shared" si="165"/>
        <v>0</v>
      </c>
      <c r="AA593" s="14">
        <f t="shared" si="166"/>
        <v>0</v>
      </c>
      <c r="AB593" s="75">
        <v>0</v>
      </c>
      <c r="AC593" s="75">
        <v>0</v>
      </c>
      <c r="AD593" s="59">
        <f t="shared" si="167"/>
        <v>0</v>
      </c>
      <c r="AE593" s="73">
        <v>0</v>
      </c>
      <c r="AF593" s="73">
        <v>0</v>
      </c>
      <c r="AG593" s="15">
        <f t="shared" si="168"/>
        <v>0</v>
      </c>
      <c r="AH593" s="16">
        <f t="shared" si="169"/>
        <v>0</v>
      </c>
      <c r="AI593" s="17">
        <f t="shared" si="170"/>
        <v>84</v>
      </c>
      <c r="AJ593" s="12">
        <f>VLOOKUP(A593,'PreK Proxy - Sept. 2024'!$A$2:$I$674,9,FALSE)</f>
        <v>101</v>
      </c>
      <c r="AK593" s="18">
        <f t="shared" si="171"/>
        <v>0.83168316831683164</v>
      </c>
    </row>
    <row r="594" spans="1:37" x14ac:dyDescent="0.35">
      <c r="A594" s="11" t="s">
        <v>1192</v>
      </c>
      <c r="B594" s="12" t="s">
        <v>1193</v>
      </c>
      <c r="C594" s="54" t="s">
        <v>1427</v>
      </c>
      <c r="D594" s="54" t="s">
        <v>251</v>
      </c>
      <c r="E594" s="66">
        <f t="shared" si="157"/>
        <v>52</v>
      </c>
      <c r="F594" s="13">
        <f t="shared" si="158"/>
        <v>52</v>
      </c>
      <c r="G594" s="67">
        <f t="shared" si="159"/>
        <v>0</v>
      </c>
      <c r="H594" s="64">
        <f t="shared" si="155"/>
        <v>9</v>
      </c>
      <c r="I594" s="80">
        <v>0</v>
      </c>
      <c r="J594" s="80">
        <v>0</v>
      </c>
      <c r="K594" s="59">
        <f t="shared" si="160"/>
        <v>0</v>
      </c>
      <c r="L594" s="59">
        <v>0</v>
      </c>
      <c r="M594" s="59">
        <v>9</v>
      </c>
      <c r="N594" s="59">
        <f t="shared" si="161"/>
        <v>9</v>
      </c>
      <c r="O594" s="15">
        <f t="shared" si="162"/>
        <v>0</v>
      </c>
      <c r="P594" s="87">
        <f t="shared" si="163"/>
        <v>43</v>
      </c>
      <c r="Q594" s="110">
        <v>0</v>
      </c>
      <c r="R594" s="59">
        <v>43</v>
      </c>
      <c r="S594" s="14">
        <v>0</v>
      </c>
      <c r="T594" s="59">
        <v>0</v>
      </c>
      <c r="U594" s="15">
        <f t="shared" si="156"/>
        <v>0</v>
      </c>
      <c r="V594" s="14">
        <v>0</v>
      </c>
      <c r="W594" s="15">
        <f t="shared" si="164"/>
        <v>0</v>
      </c>
      <c r="X594" s="14">
        <v>0</v>
      </c>
      <c r="Y594" s="75">
        <v>0</v>
      </c>
      <c r="Z594" s="87">
        <f t="shared" si="165"/>
        <v>0</v>
      </c>
      <c r="AA594" s="14">
        <f t="shared" si="166"/>
        <v>0</v>
      </c>
      <c r="AB594" s="75">
        <v>0</v>
      </c>
      <c r="AC594" s="75">
        <v>0</v>
      </c>
      <c r="AD594" s="59">
        <f t="shared" si="167"/>
        <v>0</v>
      </c>
      <c r="AE594" s="73">
        <v>0</v>
      </c>
      <c r="AF594" s="73">
        <v>0</v>
      </c>
      <c r="AG594" s="15">
        <f t="shared" si="168"/>
        <v>0</v>
      </c>
      <c r="AH594" s="16">
        <f t="shared" si="169"/>
        <v>0</v>
      </c>
      <c r="AI594" s="17">
        <f t="shared" si="170"/>
        <v>52</v>
      </c>
      <c r="AJ594" s="12">
        <f>VLOOKUP(A594,'PreK Proxy - Sept. 2024'!$A$2:$I$674,9,FALSE)</f>
        <v>102</v>
      </c>
      <c r="AK594" s="18">
        <f t="shared" si="171"/>
        <v>0.50980392156862742</v>
      </c>
    </row>
    <row r="595" spans="1:37" x14ac:dyDescent="0.35">
      <c r="A595" s="11" t="s">
        <v>1194</v>
      </c>
      <c r="B595" s="12" t="s">
        <v>1195</v>
      </c>
      <c r="C595" s="54" t="s">
        <v>1427</v>
      </c>
      <c r="D595" s="54" t="s">
        <v>251</v>
      </c>
      <c r="E595" s="66">
        <f t="shared" si="157"/>
        <v>47</v>
      </c>
      <c r="F595" s="13">
        <f t="shared" si="158"/>
        <v>47</v>
      </c>
      <c r="G595" s="67">
        <f t="shared" si="159"/>
        <v>0</v>
      </c>
      <c r="H595" s="64">
        <f t="shared" si="155"/>
        <v>12</v>
      </c>
      <c r="I595" s="80">
        <v>0</v>
      </c>
      <c r="J595" s="80">
        <v>0</v>
      </c>
      <c r="K595" s="59">
        <f t="shared" si="160"/>
        <v>0</v>
      </c>
      <c r="L595" s="59">
        <v>0</v>
      </c>
      <c r="M595" s="59">
        <v>12</v>
      </c>
      <c r="N595" s="59">
        <f t="shared" si="161"/>
        <v>12</v>
      </c>
      <c r="O595" s="15">
        <f t="shared" si="162"/>
        <v>0</v>
      </c>
      <c r="P595" s="87">
        <f t="shared" si="163"/>
        <v>0</v>
      </c>
      <c r="Q595" s="110">
        <v>0</v>
      </c>
      <c r="R595" s="59">
        <v>0</v>
      </c>
      <c r="S595" s="14">
        <v>35</v>
      </c>
      <c r="T595" s="59">
        <v>0</v>
      </c>
      <c r="U595" s="15">
        <f t="shared" si="156"/>
        <v>35</v>
      </c>
      <c r="V595" s="14">
        <v>0</v>
      </c>
      <c r="W595" s="15">
        <f t="shared" si="164"/>
        <v>0</v>
      </c>
      <c r="X595" s="14">
        <v>0</v>
      </c>
      <c r="Y595" s="75">
        <v>0</v>
      </c>
      <c r="Z595" s="87">
        <f t="shared" si="165"/>
        <v>0</v>
      </c>
      <c r="AA595" s="14">
        <f t="shared" si="166"/>
        <v>0</v>
      </c>
      <c r="AB595" s="75">
        <v>0</v>
      </c>
      <c r="AC595" s="75">
        <v>0</v>
      </c>
      <c r="AD595" s="59">
        <f t="shared" si="167"/>
        <v>0</v>
      </c>
      <c r="AE595" s="73">
        <v>0</v>
      </c>
      <c r="AF595" s="73">
        <v>0</v>
      </c>
      <c r="AG595" s="15">
        <f t="shared" si="168"/>
        <v>0</v>
      </c>
      <c r="AH595" s="16">
        <f t="shared" si="169"/>
        <v>0</v>
      </c>
      <c r="AI595" s="17">
        <f t="shared" si="170"/>
        <v>47</v>
      </c>
      <c r="AJ595" s="12">
        <f>VLOOKUP(A595,'PreK Proxy - Sept. 2024'!$A$2:$I$674,9,FALSE)</f>
        <v>52</v>
      </c>
      <c r="AK595" s="18">
        <f t="shared" si="171"/>
        <v>0.90384615384615385</v>
      </c>
    </row>
    <row r="596" spans="1:37" x14ac:dyDescent="0.35">
      <c r="A596" s="11" t="s">
        <v>1196</v>
      </c>
      <c r="B596" s="12" t="s">
        <v>1197</v>
      </c>
      <c r="C596" s="54" t="s">
        <v>1427</v>
      </c>
      <c r="D596" s="54" t="s">
        <v>251</v>
      </c>
      <c r="E596" s="66">
        <f t="shared" si="157"/>
        <v>80</v>
      </c>
      <c r="F596" s="13">
        <f t="shared" si="158"/>
        <v>80</v>
      </c>
      <c r="G596" s="67">
        <f t="shared" si="159"/>
        <v>0</v>
      </c>
      <c r="H596" s="64">
        <f t="shared" si="155"/>
        <v>80</v>
      </c>
      <c r="I596" s="80">
        <v>0</v>
      </c>
      <c r="J596" s="80">
        <v>0</v>
      </c>
      <c r="K596" s="59">
        <f t="shared" si="160"/>
        <v>0</v>
      </c>
      <c r="L596" s="59">
        <v>0</v>
      </c>
      <c r="M596" s="59">
        <v>80</v>
      </c>
      <c r="N596" s="59">
        <f t="shared" si="161"/>
        <v>80</v>
      </c>
      <c r="O596" s="15">
        <f t="shared" si="162"/>
        <v>0</v>
      </c>
      <c r="P596" s="87">
        <f t="shared" si="163"/>
        <v>0</v>
      </c>
      <c r="Q596" s="110">
        <v>0</v>
      </c>
      <c r="R596" s="59">
        <v>0</v>
      </c>
      <c r="S596" s="14">
        <v>0</v>
      </c>
      <c r="T596" s="59">
        <v>0</v>
      </c>
      <c r="U596" s="15">
        <f t="shared" si="156"/>
        <v>0</v>
      </c>
      <c r="V596" s="14">
        <v>0</v>
      </c>
      <c r="W596" s="15">
        <f t="shared" si="164"/>
        <v>0</v>
      </c>
      <c r="X596" s="14">
        <v>0</v>
      </c>
      <c r="Y596" s="75">
        <v>0</v>
      </c>
      <c r="Z596" s="87">
        <f t="shared" si="165"/>
        <v>0</v>
      </c>
      <c r="AA596" s="14">
        <f t="shared" si="166"/>
        <v>0</v>
      </c>
      <c r="AB596" s="75">
        <v>0</v>
      </c>
      <c r="AC596" s="75">
        <v>0</v>
      </c>
      <c r="AD596" s="59">
        <f t="shared" si="167"/>
        <v>0</v>
      </c>
      <c r="AE596" s="73">
        <v>0</v>
      </c>
      <c r="AF596" s="73">
        <v>0</v>
      </c>
      <c r="AG596" s="15">
        <f t="shared" si="168"/>
        <v>0</v>
      </c>
      <c r="AH596" s="16">
        <f t="shared" si="169"/>
        <v>0</v>
      </c>
      <c r="AI596" s="17">
        <f t="shared" si="170"/>
        <v>80</v>
      </c>
      <c r="AJ596" s="12">
        <f>VLOOKUP(A596,'PreK Proxy - Sept. 2024'!$A$2:$I$674,9,FALSE)</f>
        <v>141</v>
      </c>
      <c r="AK596" s="18">
        <f t="shared" si="171"/>
        <v>0.56737588652482274</v>
      </c>
    </row>
    <row r="597" spans="1:37" x14ac:dyDescent="0.35">
      <c r="A597" s="11" t="s">
        <v>1198</v>
      </c>
      <c r="B597" s="12" t="s">
        <v>1199</v>
      </c>
      <c r="C597" s="54" t="s">
        <v>1427</v>
      </c>
      <c r="D597" s="54" t="s">
        <v>251</v>
      </c>
      <c r="E597" s="66">
        <f t="shared" si="157"/>
        <v>79</v>
      </c>
      <c r="F597" s="13">
        <f t="shared" si="158"/>
        <v>79</v>
      </c>
      <c r="G597" s="67">
        <f t="shared" si="159"/>
        <v>0</v>
      </c>
      <c r="H597" s="64">
        <f t="shared" si="155"/>
        <v>34</v>
      </c>
      <c r="I597" s="80">
        <v>0</v>
      </c>
      <c r="J597" s="80">
        <v>0</v>
      </c>
      <c r="K597" s="59">
        <f t="shared" si="160"/>
        <v>0</v>
      </c>
      <c r="L597" s="59">
        <v>0</v>
      </c>
      <c r="M597" s="59">
        <v>34</v>
      </c>
      <c r="N597" s="59">
        <f t="shared" si="161"/>
        <v>34</v>
      </c>
      <c r="O597" s="15">
        <f t="shared" si="162"/>
        <v>0</v>
      </c>
      <c r="P597" s="87">
        <f t="shared" si="163"/>
        <v>45</v>
      </c>
      <c r="Q597" s="110">
        <v>0</v>
      </c>
      <c r="R597" s="59">
        <v>45</v>
      </c>
      <c r="S597" s="14">
        <v>0</v>
      </c>
      <c r="T597" s="59">
        <v>0</v>
      </c>
      <c r="U597" s="15">
        <f t="shared" si="156"/>
        <v>0</v>
      </c>
      <c r="V597" s="14">
        <v>0</v>
      </c>
      <c r="W597" s="15">
        <f t="shared" si="164"/>
        <v>0</v>
      </c>
      <c r="X597" s="14">
        <v>0</v>
      </c>
      <c r="Y597" s="75">
        <v>0</v>
      </c>
      <c r="Z597" s="87">
        <f t="shared" si="165"/>
        <v>0</v>
      </c>
      <c r="AA597" s="14">
        <f t="shared" si="166"/>
        <v>0</v>
      </c>
      <c r="AB597" s="75">
        <v>0</v>
      </c>
      <c r="AC597" s="75">
        <v>0</v>
      </c>
      <c r="AD597" s="59">
        <f t="shared" si="167"/>
        <v>0</v>
      </c>
      <c r="AE597" s="73">
        <v>0</v>
      </c>
      <c r="AF597" s="73">
        <v>0</v>
      </c>
      <c r="AG597" s="15">
        <f t="shared" si="168"/>
        <v>0</v>
      </c>
      <c r="AH597" s="16">
        <f t="shared" si="169"/>
        <v>0</v>
      </c>
      <c r="AI597" s="17">
        <f t="shared" si="170"/>
        <v>79</v>
      </c>
      <c r="AJ597" s="12">
        <f>VLOOKUP(A597,'PreK Proxy - Sept. 2024'!$A$2:$I$674,9,FALSE)</f>
        <v>136</v>
      </c>
      <c r="AK597" s="18">
        <f t="shared" si="171"/>
        <v>0.58088235294117652</v>
      </c>
    </row>
    <row r="598" spans="1:37" x14ac:dyDescent="0.35">
      <c r="A598" s="11" t="s">
        <v>1200</v>
      </c>
      <c r="B598" s="12" t="s">
        <v>1201</v>
      </c>
      <c r="C598" s="54" t="s">
        <v>1427</v>
      </c>
      <c r="D598" s="54" t="s">
        <v>251</v>
      </c>
      <c r="E598" s="66">
        <f t="shared" si="157"/>
        <v>36</v>
      </c>
      <c r="F598" s="13">
        <f t="shared" si="158"/>
        <v>36</v>
      </c>
      <c r="G598" s="67">
        <f t="shared" si="159"/>
        <v>0</v>
      </c>
      <c r="H598" s="64">
        <f t="shared" si="155"/>
        <v>36</v>
      </c>
      <c r="I598" s="80">
        <v>0</v>
      </c>
      <c r="J598" s="80">
        <v>0</v>
      </c>
      <c r="K598" s="59">
        <f t="shared" si="160"/>
        <v>0</v>
      </c>
      <c r="L598" s="59">
        <v>0</v>
      </c>
      <c r="M598" s="59">
        <v>36</v>
      </c>
      <c r="N598" s="59">
        <f t="shared" si="161"/>
        <v>36</v>
      </c>
      <c r="O598" s="15">
        <f t="shared" si="162"/>
        <v>0</v>
      </c>
      <c r="P598" s="87">
        <f t="shared" si="163"/>
        <v>0</v>
      </c>
      <c r="Q598" s="110">
        <v>0</v>
      </c>
      <c r="R598" s="59">
        <v>0</v>
      </c>
      <c r="S598" s="14">
        <v>0</v>
      </c>
      <c r="T598" s="59">
        <v>0</v>
      </c>
      <c r="U598" s="15">
        <f t="shared" si="156"/>
        <v>0</v>
      </c>
      <c r="V598" s="14">
        <v>0</v>
      </c>
      <c r="W598" s="15">
        <f t="shared" si="164"/>
        <v>0</v>
      </c>
      <c r="X598" s="14">
        <v>0</v>
      </c>
      <c r="Y598" s="75">
        <v>0</v>
      </c>
      <c r="Z598" s="87">
        <f t="shared" si="165"/>
        <v>0</v>
      </c>
      <c r="AA598" s="14">
        <f t="shared" si="166"/>
        <v>0</v>
      </c>
      <c r="AB598" s="75">
        <v>0</v>
      </c>
      <c r="AC598" s="75">
        <v>0</v>
      </c>
      <c r="AD598" s="59">
        <f t="shared" si="167"/>
        <v>0</v>
      </c>
      <c r="AE598" s="73">
        <v>0</v>
      </c>
      <c r="AF598" s="73">
        <v>0</v>
      </c>
      <c r="AG598" s="15">
        <f t="shared" si="168"/>
        <v>0</v>
      </c>
      <c r="AH598" s="16">
        <f t="shared" si="169"/>
        <v>0</v>
      </c>
      <c r="AI598" s="17">
        <f t="shared" si="170"/>
        <v>36</v>
      </c>
      <c r="AJ598" s="12">
        <f>VLOOKUP(A598,'PreK Proxy - Sept. 2024'!$A$2:$I$674,9,FALSE)</f>
        <v>72</v>
      </c>
      <c r="AK598" s="18">
        <f t="shared" si="171"/>
        <v>0.5</v>
      </c>
    </row>
    <row r="599" spans="1:37" x14ac:dyDescent="0.35">
      <c r="A599" s="11" t="s">
        <v>1202</v>
      </c>
      <c r="B599" s="12" t="s">
        <v>1203</v>
      </c>
      <c r="C599" s="54" t="s">
        <v>1426</v>
      </c>
      <c r="D599" s="54" t="s">
        <v>18</v>
      </c>
      <c r="E599" s="66">
        <f t="shared" si="157"/>
        <v>11</v>
      </c>
      <c r="F599" s="13">
        <f t="shared" si="158"/>
        <v>11</v>
      </c>
      <c r="G599" s="67">
        <f t="shared" si="159"/>
        <v>0</v>
      </c>
      <c r="H599" s="64">
        <f t="shared" si="155"/>
        <v>5</v>
      </c>
      <c r="I599" s="80">
        <v>0</v>
      </c>
      <c r="J599" s="80">
        <v>0</v>
      </c>
      <c r="K599" s="59">
        <f t="shared" si="160"/>
        <v>0</v>
      </c>
      <c r="L599" s="59">
        <v>0</v>
      </c>
      <c r="M599" s="59">
        <v>5</v>
      </c>
      <c r="N599" s="59">
        <f t="shared" si="161"/>
        <v>5</v>
      </c>
      <c r="O599" s="15">
        <f t="shared" si="162"/>
        <v>0</v>
      </c>
      <c r="P599" s="87">
        <f t="shared" si="163"/>
        <v>0</v>
      </c>
      <c r="Q599" s="110">
        <v>0</v>
      </c>
      <c r="R599" s="59">
        <v>0</v>
      </c>
      <c r="S599" s="14">
        <v>0</v>
      </c>
      <c r="T599" s="59">
        <v>0</v>
      </c>
      <c r="U599" s="15">
        <f t="shared" si="156"/>
        <v>0</v>
      </c>
      <c r="V599" s="14">
        <v>0</v>
      </c>
      <c r="W599" s="15">
        <f t="shared" si="164"/>
        <v>0</v>
      </c>
      <c r="X599" s="14">
        <v>6</v>
      </c>
      <c r="Y599" s="75">
        <v>0</v>
      </c>
      <c r="Z599" s="87">
        <f t="shared" si="165"/>
        <v>6</v>
      </c>
      <c r="AA599" s="14">
        <f t="shared" si="166"/>
        <v>0</v>
      </c>
      <c r="AB599" s="75">
        <v>0</v>
      </c>
      <c r="AC599" s="75">
        <v>0</v>
      </c>
      <c r="AD599" s="59">
        <f t="shared" si="167"/>
        <v>0</v>
      </c>
      <c r="AE599" s="73">
        <v>0</v>
      </c>
      <c r="AF599" s="73">
        <v>0</v>
      </c>
      <c r="AG599" s="15">
        <f t="shared" si="168"/>
        <v>0</v>
      </c>
      <c r="AH599" s="16">
        <f t="shared" si="169"/>
        <v>0</v>
      </c>
      <c r="AI599" s="17">
        <f t="shared" si="170"/>
        <v>11</v>
      </c>
      <c r="AJ599" s="12">
        <f>VLOOKUP(A599,'PreK Proxy - Sept. 2024'!$A$2:$I$674,9,FALSE)</f>
        <v>5</v>
      </c>
      <c r="AK599" s="18">
        <f t="shared" si="171"/>
        <v>1</v>
      </c>
    </row>
    <row r="600" spans="1:37" x14ac:dyDescent="0.35">
      <c r="A600" s="11" t="s">
        <v>1204</v>
      </c>
      <c r="B600" s="12" t="s">
        <v>1205</v>
      </c>
      <c r="C600" s="54" t="s">
        <v>1426</v>
      </c>
      <c r="D600" s="54" t="s">
        <v>18</v>
      </c>
      <c r="E600" s="66">
        <f t="shared" si="157"/>
        <v>16</v>
      </c>
      <c r="F600" s="13">
        <f t="shared" si="158"/>
        <v>16</v>
      </c>
      <c r="G600" s="67">
        <f t="shared" si="159"/>
        <v>0</v>
      </c>
      <c r="H600" s="64">
        <f t="shared" si="155"/>
        <v>16</v>
      </c>
      <c r="I600" s="80">
        <v>0</v>
      </c>
      <c r="J600" s="80">
        <v>0</v>
      </c>
      <c r="K600" s="59">
        <f t="shared" si="160"/>
        <v>0</v>
      </c>
      <c r="L600" s="59">
        <v>0</v>
      </c>
      <c r="M600" s="59">
        <v>16</v>
      </c>
      <c r="N600" s="59">
        <f t="shared" si="161"/>
        <v>16</v>
      </c>
      <c r="O600" s="15">
        <f t="shared" si="162"/>
        <v>0</v>
      </c>
      <c r="P600" s="87">
        <f t="shared" si="163"/>
        <v>0</v>
      </c>
      <c r="Q600" s="110">
        <v>0</v>
      </c>
      <c r="R600" s="59">
        <v>0</v>
      </c>
      <c r="S600" s="14">
        <v>0</v>
      </c>
      <c r="T600" s="59">
        <v>0</v>
      </c>
      <c r="U600" s="15">
        <f t="shared" si="156"/>
        <v>0</v>
      </c>
      <c r="V600" s="14">
        <v>0</v>
      </c>
      <c r="W600" s="15">
        <f t="shared" si="164"/>
        <v>0</v>
      </c>
      <c r="X600" s="14">
        <v>0</v>
      </c>
      <c r="Y600" s="75">
        <v>0</v>
      </c>
      <c r="Z600" s="87">
        <f t="shared" si="165"/>
        <v>0</v>
      </c>
      <c r="AA600" s="14">
        <f t="shared" si="166"/>
        <v>0</v>
      </c>
      <c r="AB600" s="75">
        <v>0</v>
      </c>
      <c r="AC600" s="75">
        <v>0</v>
      </c>
      <c r="AD600" s="59">
        <f t="shared" si="167"/>
        <v>0</v>
      </c>
      <c r="AE600" s="73">
        <v>0</v>
      </c>
      <c r="AF600" s="73">
        <v>0</v>
      </c>
      <c r="AG600" s="15">
        <f t="shared" si="168"/>
        <v>0</v>
      </c>
      <c r="AH600" s="16">
        <f t="shared" si="169"/>
        <v>0</v>
      </c>
      <c r="AI600" s="17">
        <f t="shared" si="170"/>
        <v>16</v>
      </c>
      <c r="AJ600" s="12">
        <f>VLOOKUP(A600,'PreK Proxy - Sept. 2024'!$A$2:$I$674,9,FALSE)</f>
        <v>22</v>
      </c>
      <c r="AK600" s="18">
        <f t="shared" si="171"/>
        <v>0.72727272727272729</v>
      </c>
    </row>
    <row r="601" spans="1:37" x14ac:dyDescent="0.35">
      <c r="A601" s="11" t="s">
        <v>1206</v>
      </c>
      <c r="B601" s="12" t="s">
        <v>1207</v>
      </c>
      <c r="C601" s="54" t="s">
        <v>1426</v>
      </c>
      <c r="D601" s="54" t="s">
        <v>18</v>
      </c>
      <c r="E601" s="66">
        <f t="shared" si="157"/>
        <v>67</v>
      </c>
      <c r="F601" s="13">
        <f t="shared" si="158"/>
        <v>67</v>
      </c>
      <c r="G601" s="67">
        <f t="shared" si="159"/>
        <v>0</v>
      </c>
      <c r="H601" s="64">
        <f t="shared" si="155"/>
        <v>67</v>
      </c>
      <c r="I601" s="80">
        <v>0</v>
      </c>
      <c r="J601" s="80">
        <v>0</v>
      </c>
      <c r="K601" s="59">
        <f t="shared" si="160"/>
        <v>0</v>
      </c>
      <c r="L601" s="59">
        <v>0</v>
      </c>
      <c r="M601" s="59">
        <v>67</v>
      </c>
      <c r="N601" s="59">
        <f t="shared" si="161"/>
        <v>67</v>
      </c>
      <c r="O601" s="15">
        <f t="shared" si="162"/>
        <v>0</v>
      </c>
      <c r="P601" s="87">
        <f t="shared" si="163"/>
        <v>0</v>
      </c>
      <c r="Q601" s="110">
        <v>0</v>
      </c>
      <c r="R601" s="59">
        <v>0</v>
      </c>
      <c r="S601" s="14">
        <v>0</v>
      </c>
      <c r="T601" s="59">
        <v>0</v>
      </c>
      <c r="U601" s="15">
        <f t="shared" si="156"/>
        <v>0</v>
      </c>
      <c r="V601" s="14">
        <v>0</v>
      </c>
      <c r="W601" s="15">
        <f t="shared" si="164"/>
        <v>0</v>
      </c>
      <c r="X601" s="14">
        <v>0</v>
      </c>
      <c r="Y601" s="75">
        <v>0</v>
      </c>
      <c r="Z601" s="87">
        <f t="shared" si="165"/>
        <v>0</v>
      </c>
      <c r="AA601" s="14">
        <f t="shared" si="166"/>
        <v>0</v>
      </c>
      <c r="AB601" s="75">
        <v>0</v>
      </c>
      <c r="AC601" s="75">
        <v>0</v>
      </c>
      <c r="AD601" s="59">
        <f t="shared" si="167"/>
        <v>0</v>
      </c>
      <c r="AE601" s="73">
        <v>0</v>
      </c>
      <c r="AF601" s="73">
        <v>0</v>
      </c>
      <c r="AG601" s="15">
        <f t="shared" si="168"/>
        <v>0</v>
      </c>
      <c r="AH601" s="16">
        <f t="shared" si="169"/>
        <v>0</v>
      </c>
      <c r="AI601" s="17">
        <f t="shared" si="170"/>
        <v>67</v>
      </c>
      <c r="AJ601" s="12">
        <f>VLOOKUP(A601,'PreK Proxy - Sept. 2024'!$A$2:$I$674,9,FALSE)</f>
        <v>121</v>
      </c>
      <c r="AK601" s="18">
        <f t="shared" si="171"/>
        <v>0.55371900826446285</v>
      </c>
    </row>
    <row r="602" spans="1:37" x14ac:dyDescent="0.35">
      <c r="A602" s="11" t="s">
        <v>1208</v>
      </c>
      <c r="B602" s="12" t="s">
        <v>1209</v>
      </c>
      <c r="C602" s="54" t="s">
        <v>1426</v>
      </c>
      <c r="D602" s="54" t="s">
        <v>18</v>
      </c>
      <c r="E602" s="66">
        <f t="shared" si="157"/>
        <v>11</v>
      </c>
      <c r="F602" s="13">
        <f t="shared" si="158"/>
        <v>11</v>
      </c>
      <c r="G602" s="67">
        <f t="shared" si="159"/>
        <v>0</v>
      </c>
      <c r="H602" s="64">
        <f t="shared" si="155"/>
        <v>11</v>
      </c>
      <c r="I602" s="80">
        <v>0</v>
      </c>
      <c r="J602" s="80">
        <v>0</v>
      </c>
      <c r="K602" s="59">
        <f t="shared" si="160"/>
        <v>0</v>
      </c>
      <c r="L602" s="59">
        <v>0</v>
      </c>
      <c r="M602" s="59">
        <v>11</v>
      </c>
      <c r="N602" s="59">
        <f t="shared" si="161"/>
        <v>11</v>
      </c>
      <c r="O602" s="15">
        <f t="shared" si="162"/>
        <v>0</v>
      </c>
      <c r="P602" s="87">
        <f t="shared" si="163"/>
        <v>0</v>
      </c>
      <c r="Q602" s="110">
        <v>0</v>
      </c>
      <c r="R602" s="59">
        <v>0</v>
      </c>
      <c r="S602" s="14">
        <v>0</v>
      </c>
      <c r="T602" s="59">
        <v>0</v>
      </c>
      <c r="U602" s="15">
        <f t="shared" si="156"/>
        <v>0</v>
      </c>
      <c r="V602" s="14">
        <v>0</v>
      </c>
      <c r="W602" s="15">
        <f t="shared" si="164"/>
        <v>0</v>
      </c>
      <c r="X602" s="14">
        <v>0</v>
      </c>
      <c r="Y602" s="75">
        <v>0</v>
      </c>
      <c r="Z602" s="87">
        <f t="shared" si="165"/>
        <v>0</v>
      </c>
      <c r="AA602" s="14">
        <f t="shared" si="166"/>
        <v>0</v>
      </c>
      <c r="AB602" s="75">
        <v>0</v>
      </c>
      <c r="AC602" s="75">
        <v>0</v>
      </c>
      <c r="AD602" s="59">
        <f t="shared" si="167"/>
        <v>0</v>
      </c>
      <c r="AE602" s="73">
        <v>0</v>
      </c>
      <c r="AF602" s="73">
        <v>0</v>
      </c>
      <c r="AG602" s="15">
        <f t="shared" si="168"/>
        <v>0</v>
      </c>
      <c r="AH602" s="16">
        <f t="shared" si="169"/>
        <v>0</v>
      </c>
      <c r="AI602" s="17">
        <f t="shared" si="170"/>
        <v>11</v>
      </c>
      <c r="AJ602" s="12">
        <f>VLOOKUP(A602,'PreK Proxy - Sept. 2024'!$A$2:$I$674,9,FALSE)</f>
        <v>16</v>
      </c>
      <c r="AK602" s="18">
        <f t="shared" si="171"/>
        <v>0.6875</v>
      </c>
    </row>
    <row r="603" spans="1:37" x14ac:dyDescent="0.35">
      <c r="A603" s="11" t="s">
        <v>1210</v>
      </c>
      <c r="B603" s="12" t="s">
        <v>1211</v>
      </c>
      <c r="C603" s="54" t="s">
        <v>1426</v>
      </c>
      <c r="D603" s="54" t="s">
        <v>18</v>
      </c>
      <c r="E603" s="66">
        <f t="shared" si="157"/>
        <v>0</v>
      </c>
      <c r="F603" s="13">
        <f t="shared" si="158"/>
        <v>0</v>
      </c>
      <c r="G603" s="67">
        <f t="shared" si="159"/>
        <v>0</v>
      </c>
      <c r="H603" s="64">
        <f t="shared" si="155"/>
        <v>0</v>
      </c>
      <c r="I603" s="80">
        <v>0</v>
      </c>
      <c r="J603" s="80">
        <v>0</v>
      </c>
      <c r="K603" s="59">
        <f t="shared" si="160"/>
        <v>0</v>
      </c>
      <c r="L603" s="59">
        <v>0</v>
      </c>
      <c r="M603" s="59">
        <v>0</v>
      </c>
      <c r="N603" s="59">
        <f t="shared" si="161"/>
        <v>0</v>
      </c>
      <c r="O603" s="15">
        <f t="shared" si="162"/>
        <v>0</v>
      </c>
      <c r="P603" s="87">
        <f t="shared" si="163"/>
        <v>0</v>
      </c>
      <c r="Q603" s="110">
        <v>0</v>
      </c>
      <c r="R603" s="59">
        <v>0</v>
      </c>
      <c r="S603" s="14">
        <v>0</v>
      </c>
      <c r="T603" s="59">
        <v>0</v>
      </c>
      <c r="U603" s="15">
        <f t="shared" si="156"/>
        <v>0</v>
      </c>
      <c r="V603" s="14">
        <v>0</v>
      </c>
      <c r="W603" s="15">
        <f t="shared" si="164"/>
        <v>0</v>
      </c>
      <c r="X603" s="14">
        <v>0</v>
      </c>
      <c r="Y603" s="75">
        <v>0</v>
      </c>
      <c r="Z603" s="87">
        <f t="shared" si="165"/>
        <v>0</v>
      </c>
      <c r="AA603" s="14">
        <f t="shared" si="166"/>
        <v>0</v>
      </c>
      <c r="AB603" s="75">
        <v>0</v>
      </c>
      <c r="AC603" s="75">
        <v>0</v>
      </c>
      <c r="AD603" s="59">
        <f t="shared" si="167"/>
        <v>0</v>
      </c>
      <c r="AE603" s="73">
        <v>0</v>
      </c>
      <c r="AF603" s="73">
        <v>0</v>
      </c>
      <c r="AG603" s="15">
        <f t="shared" si="168"/>
        <v>0</v>
      </c>
      <c r="AH603" s="16">
        <f t="shared" si="169"/>
        <v>0</v>
      </c>
      <c r="AI603" s="17">
        <f t="shared" si="170"/>
        <v>0</v>
      </c>
      <c r="AJ603" s="12">
        <f>VLOOKUP(A603,'PreK Proxy - Sept. 2024'!$A$2:$I$674,9,FALSE)</f>
        <v>27</v>
      </c>
      <c r="AK603" s="18">
        <f t="shared" si="171"/>
        <v>0</v>
      </c>
    </row>
    <row r="604" spans="1:37" x14ac:dyDescent="0.35">
      <c r="A604" s="11" t="s">
        <v>1212</v>
      </c>
      <c r="B604" s="12" t="s">
        <v>1213</v>
      </c>
      <c r="C604" s="54" t="s">
        <v>1426</v>
      </c>
      <c r="D604" s="54" t="s">
        <v>18</v>
      </c>
      <c r="E604" s="66">
        <f t="shared" si="157"/>
        <v>19</v>
      </c>
      <c r="F604" s="13">
        <f t="shared" si="158"/>
        <v>0</v>
      </c>
      <c r="G604" s="67">
        <f t="shared" si="159"/>
        <v>19</v>
      </c>
      <c r="H604" s="64">
        <f t="shared" si="155"/>
        <v>19</v>
      </c>
      <c r="I604" s="80">
        <v>0</v>
      </c>
      <c r="J604" s="80">
        <v>19</v>
      </c>
      <c r="K604" s="59">
        <f t="shared" si="160"/>
        <v>19</v>
      </c>
      <c r="L604" s="59">
        <v>0</v>
      </c>
      <c r="M604" s="59">
        <v>0</v>
      </c>
      <c r="N604" s="59">
        <f t="shared" si="161"/>
        <v>0</v>
      </c>
      <c r="O604" s="15">
        <f t="shared" si="162"/>
        <v>0</v>
      </c>
      <c r="P604" s="87">
        <f t="shared" si="163"/>
        <v>0</v>
      </c>
      <c r="Q604" s="110">
        <v>0</v>
      </c>
      <c r="R604" s="59">
        <v>0</v>
      </c>
      <c r="S604" s="14">
        <v>0</v>
      </c>
      <c r="T604" s="59">
        <v>0</v>
      </c>
      <c r="U604" s="15">
        <f t="shared" si="156"/>
        <v>0</v>
      </c>
      <c r="V604" s="14">
        <v>0</v>
      </c>
      <c r="W604" s="15">
        <f t="shared" si="164"/>
        <v>0</v>
      </c>
      <c r="X604" s="14">
        <v>0</v>
      </c>
      <c r="Y604" s="75">
        <v>0</v>
      </c>
      <c r="Z604" s="87">
        <f t="shared" si="165"/>
        <v>0</v>
      </c>
      <c r="AA604" s="14">
        <f t="shared" si="166"/>
        <v>0</v>
      </c>
      <c r="AB604" s="75">
        <v>0</v>
      </c>
      <c r="AC604" s="75">
        <v>0</v>
      </c>
      <c r="AD604" s="59">
        <f t="shared" si="167"/>
        <v>0</v>
      </c>
      <c r="AE604" s="73">
        <v>0</v>
      </c>
      <c r="AF604" s="73">
        <v>0</v>
      </c>
      <c r="AG604" s="15">
        <f t="shared" si="168"/>
        <v>0</v>
      </c>
      <c r="AH604" s="16">
        <f t="shared" si="169"/>
        <v>19</v>
      </c>
      <c r="AI604" s="17">
        <f t="shared" si="170"/>
        <v>0</v>
      </c>
      <c r="AJ604" s="12">
        <f>VLOOKUP(A604,'PreK Proxy - Sept. 2024'!$A$2:$I$674,9,FALSE)</f>
        <v>50</v>
      </c>
      <c r="AK604" s="18">
        <f t="shared" si="171"/>
        <v>0.38</v>
      </c>
    </row>
    <row r="605" spans="1:37" x14ac:dyDescent="0.35">
      <c r="A605" s="11" t="s">
        <v>1214</v>
      </c>
      <c r="B605" s="12" t="s">
        <v>1215</v>
      </c>
      <c r="C605" s="54" t="s">
        <v>1426</v>
      </c>
      <c r="D605" s="54" t="s">
        <v>18</v>
      </c>
      <c r="E605" s="66">
        <f t="shared" si="157"/>
        <v>72</v>
      </c>
      <c r="F605" s="13">
        <f t="shared" si="158"/>
        <v>72</v>
      </c>
      <c r="G605" s="67">
        <f t="shared" si="159"/>
        <v>0</v>
      </c>
      <c r="H605" s="64">
        <f t="shared" si="155"/>
        <v>0</v>
      </c>
      <c r="I605" s="80">
        <v>0</v>
      </c>
      <c r="J605" s="80">
        <v>0</v>
      </c>
      <c r="K605" s="59">
        <f t="shared" si="160"/>
        <v>0</v>
      </c>
      <c r="L605" s="59">
        <v>0</v>
      </c>
      <c r="M605" s="59">
        <v>0</v>
      </c>
      <c r="N605" s="59">
        <f t="shared" si="161"/>
        <v>0</v>
      </c>
      <c r="O605" s="15">
        <f t="shared" si="162"/>
        <v>0</v>
      </c>
      <c r="P605" s="87">
        <f t="shared" si="163"/>
        <v>13</v>
      </c>
      <c r="Q605" s="110">
        <v>0</v>
      </c>
      <c r="R605" s="59">
        <v>13</v>
      </c>
      <c r="S605" s="14">
        <v>0</v>
      </c>
      <c r="T605" s="59">
        <v>0</v>
      </c>
      <c r="U605" s="15">
        <f t="shared" si="156"/>
        <v>0</v>
      </c>
      <c r="V605" s="14">
        <v>0</v>
      </c>
      <c r="W605" s="15">
        <f t="shared" si="164"/>
        <v>0</v>
      </c>
      <c r="X605" s="14">
        <v>59</v>
      </c>
      <c r="Y605" s="75">
        <v>0</v>
      </c>
      <c r="Z605" s="87">
        <f t="shared" si="165"/>
        <v>59</v>
      </c>
      <c r="AA605" s="14">
        <f t="shared" si="166"/>
        <v>0</v>
      </c>
      <c r="AB605" s="75">
        <v>0</v>
      </c>
      <c r="AC605" s="75">
        <v>0</v>
      </c>
      <c r="AD605" s="59">
        <f t="shared" si="167"/>
        <v>0</v>
      </c>
      <c r="AE605" s="73">
        <v>0</v>
      </c>
      <c r="AF605" s="73">
        <v>0</v>
      </c>
      <c r="AG605" s="15">
        <f t="shared" si="168"/>
        <v>0</v>
      </c>
      <c r="AH605" s="16">
        <f t="shared" si="169"/>
        <v>0</v>
      </c>
      <c r="AI605" s="17">
        <f t="shared" si="170"/>
        <v>72</v>
      </c>
      <c r="AJ605" s="12">
        <f>VLOOKUP(A605,'PreK Proxy - Sept. 2024'!$A$2:$I$674,9,FALSE)</f>
        <v>170</v>
      </c>
      <c r="AK605" s="18">
        <f t="shared" si="171"/>
        <v>0.42352941176470588</v>
      </c>
    </row>
    <row r="606" spans="1:37" x14ac:dyDescent="0.35">
      <c r="A606" s="11" t="s">
        <v>1216</v>
      </c>
      <c r="B606" s="12" t="s">
        <v>1217</v>
      </c>
      <c r="C606" s="54" t="s">
        <v>1426</v>
      </c>
      <c r="D606" s="54" t="s">
        <v>18</v>
      </c>
      <c r="E606" s="66">
        <f t="shared" si="157"/>
        <v>0</v>
      </c>
      <c r="F606" s="13">
        <f t="shared" si="158"/>
        <v>0</v>
      </c>
      <c r="G606" s="67">
        <f t="shared" si="159"/>
        <v>0</v>
      </c>
      <c r="H606" s="64">
        <f t="shared" si="155"/>
        <v>0</v>
      </c>
      <c r="I606" s="80">
        <v>0</v>
      </c>
      <c r="J606" s="80">
        <v>0</v>
      </c>
      <c r="K606" s="59">
        <f t="shared" si="160"/>
        <v>0</v>
      </c>
      <c r="L606" s="59">
        <v>0</v>
      </c>
      <c r="M606" s="59">
        <v>0</v>
      </c>
      <c r="N606" s="59">
        <f t="shared" si="161"/>
        <v>0</v>
      </c>
      <c r="O606" s="15">
        <f t="shared" si="162"/>
        <v>0</v>
      </c>
      <c r="P606" s="87">
        <f t="shared" si="163"/>
        <v>0</v>
      </c>
      <c r="Q606" s="110">
        <v>0</v>
      </c>
      <c r="R606" s="59">
        <v>0</v>
      </c>
      <c r="S606" s="14">
        <v>0</v>
      </c>
      <c r="T606" s="59">
        <v>0</v>
      </c>
      <c r="U606" s="15">
        <f t="shared" si="156"/>
        <v>0</v>
      </c>
      <c r="V606" s="14">
        <v>0</v>
      </c>
      <c r="W606" s="15">
        <f t="shared" si="164"/>
        <v>0</v>
      </c>
      <c r="X606" s="14">
        <v>0</v>
      </c>
      <c r="Y606" s="75">
        <v>0</v>
      </c>
      <c r="Z606" s="87">
        <f t="shared" si="165"/>
        <v>0</v>
      </c>
      <c r="AA606" s="14">
        <f t="shared" si="166"/>
        <v>0</v>
      </c>
      <c r="AB606" s="75">
        <v>0</v>
      </c>
      <c r="AC606" s="75">
        <v>0</v>
      </c>
      <c r="AD606" s="59">
        <f t="shared" si="167"/>
        <v>0</v>
      </c>
      <c r="AE606" s="73">
        <v>0</v>
      </c>
      <c r="AF606" s="73">
        <v>0</v>
      </c>
      <c r="AG606" s="15">
        <f t="shared" si="168"/>
        <v>0</v>
      </c>
      <c r="AH606" s="16">
        <f t="shared" si="169"/>
        <v>0</v>
      </c>
      <c r="AI606" s="17">
        <f t="shared" si="170"/>
        <v>0</v>
      </c>
      <c r="AJ606" s="12">
        <f>VLOOKUP(A606,'PreK Proxy - Sept. 2024'!$A$2:$I$674,9,FALSE)</f>
        <v>22</v>
      </c>
      <c r="AK606" s="18">
        <f t="shared" si="171"/>
        <v>0</v>
      </c>
    </row>
    <row r="607" spans="1:37" x14ac:dyDescent="0.35">
      <c r="A607" s="11" t="s">
        <v>1218</v>
      </c>
      <c r="B607" s="12" t="s">
        <v>1219</v>
      </c>
      <c r="C607" s="54" t="s">
        <v>1426</v>
      </c>
      <c r="D607" s="54" t="s">
        <v>18</v>
      </c>
      <c r="E607" s="66">
        <f t="shared" si="157"/>
        <v>17</v>
      </c>
      <c r="F607" s="13">
        <f t="shared" si="158"/>
        <v>0</v>
      </c>
      <c r="G607" s="67">
        <f t="shared" si="159"/>
        <v>17</v>
      </c>
      <c r="H607" s="64">
        <f t="shared" si="155"/>
        <v>17</v>
      </c>
      <c r="I607" s="80">
        <v>0</v>
      </c>
      <c r="J607" s="80">
        <v>17</v>
      </c>
      <c r="K607" s="59">
        <f t="shared" si="160"/>
        <v>17</v>
      </c>
      <c r="L607" s="59">
        <v>0</v>
      </c>
      <c r="M607" s="59">
        <v>0</v>
      </c>
      <c r="N607" s="59">
        <f t="shared" si="161"/>
        <v>0</v>
      </c>
      <c r="O607" s="15">
        <f t="shared" si="162"/>
        <v>0</v>
      </c>
      <c r="P607" s="87">
        <f t="shared" si="163"/>
        <v>0</v>
      </c>
      <c r="Q607" s="110">
        <v>0</v>
      </c>
      <c r="R607" s="59">
        <v>0</v>
      </c>
      <c r="S607" s="14">
        <v>0</v>
      </c>
      <c r="T607" s="59">
        <v>0</v>
      </c>
      <c r="U607" s="15">
        <f t="shared" si="156"/>
        <v>0</v>
      </c>
      <c r="V607" s="14">
        <v>0</v>
      </c>
      <c r="W607" s="15">
        <f t="shared" si="164"/>
        <v>0</v>
      </c>
      <c r="X607" s="14">
        <v>0</v>
      </c>
      <c r="Y607" s="75">
        <v>0</v>
      </c>
      <c r="Z607" s="87">
        <f t="shared" si="165"/>
        <v>0</v>
      </c>
      <c r="AA607" s="14">
        <f t="shared" si="166"/>
        <v>0</v>
      </c>
      <c r="AB607" s="75">
        <v>0</v>
      </c>
      <c r="AC607" s="75">
        <v>0</v>
      </c>
      <c r="AD607" s="59">
        <f t="shared" si="167"/>
        <v>0</v>
      </c>
      <c r="AE607" s="73">
        <v>0</v>
      </c>
      <c r="AF607" s="73">
        <v>0</v>
      </c>
      <c r="AG607" s="15">
        <f t="shared" si="168"/>
        <v>0</v>
      </c>
      <c r="AH607" s="16">
        <f t="shared" si="169"/>
        <v>17</v>
      </c>
      <c r="AI607" s="17">
        <f t="shared" si="170"/>
        <v>0</v>
      </c>
      <c r="AJ607" s="12">
        <f>VLOOKUP(A607,'PreK Proxy - Sept. 2024'!$A$2:$I$674,9,FALSE)</f>
        <v>44</v>
      </c>
      <c r="AK607" s="18">
        <f t="shared" si="171"/>
        <v>0.38636363636363635</v>
      </c>
    </row>
    <row r="608" spans="1:37" x14ac:dyDescent="0.35">
      <c r="A608" s="11" t="s">
        <v>1220</v>
      </c>
      <c r="B608" s="12" t="s">
        <v>1221</v>
      </c>
      <c r="C608" s="54" t="s">
        <v>1425</v>
      </c>
      <c r="D608" s="54" t="s">
        <v>18</v>
      </c>
      <c r="E608" s="66">
        <f t="shared" si="157"/>
        <v>19</v>
      </c>
      <c r="F608" s="13">
        <f t="shared" si="158"/>
        <v>19</v>
      </c>
      <c r="G608" s="67">
        <f t="shared" si="159"/>
        <v>0</v>
      </c>
      <c r="H608" s="64">
        <f t="shared" si="155"/>
        <v>0</v>
      </c>
      <c r="I608" s="80">
        <v>0</v>
      </c>
      <c r="J608" s="80">
        <v>0</v>
      </c>
      <c r="K608" s="59">
        <f t="shared" si="160"/>
        <v>0</v>
      </c>
      <c r="L608" s="59">
        <v>0</v>
      </c>
      <c r="M608" s="59">
        <v>0</v>
      </c>
      <c r="N608" s="59">
        <f t="shared" si="161"/>
        <v>0</v>
      </c>
      <c r="O608" s="15">
        <f t="shared" si="162"/>
        <v>0</v>
      </c>
      <c r="P608" s="87">
        <f t="shared" si="163"/>
        <v>19</v>
      </c>
      <c r="Q608" s="110">
        <v>0</v>
      </c>
      <c r="R608" s="59">
        <v>19</v>
      </c>
      <c r="S608" s="14">
        <v>0</v>
      </c>
      <c r="T608" s="59">
        <v>0</v>
      </c>
      <c r="U608" s="15">
        <f t="shared" si="156"/>
        <v>0</v>
      </c>
      <c r="V608" s="14">
        <v>0</v>
      </c>
      <c r="W608" s="15">
        <f t="shared" si="164"/>
        <v>0</v>
      </c>
      <c r="X608" s="14">
        <v>0</v>
      </c>
      <c r="Y608" s="75">
        <v>0</v>
      </c>
      <c r="Z608" s="87">
        <f t="shared" si="165"/>
        <v>0</v>
      </c>
      <c r="AA608" s="14">
        <f t="shared" si="166"/>
        <v>0</v>
      </c>
      <c r="AB608" s="75">
        <v>0</v>
      </c>
      <c r="AC608" s="75">
        <v>0</v>
      </c>
      <c r="AD608" s="59">
        <f t="shared" si="167"/>
        <v>0</v>
      </c>
      <c r="AE608" s="73">
        <v>0</v>
      </c>
      <c r="AF608" s="73">
        <v>0</v>
      </c>
      <c r="AG608" s="15">
        <f t="shared" si="168"/>
        <v>0</v>
      </c>
      <c r="AH608" s="16">
        <f t="shared" si="169"/>
        <v>0</v>
      </c>
      <c r="AI608" s="17">
        <f t="shared" si="170"/>
        <v>19</v>
      </c>
      <c r="AJ608" s="12">
        <f>VLOOKUP(A608,'PreK Proxy - Sept. 2024'!$A$2:$I$674,9,FALSE)</f>
        <v>32</v>
      </c>
      <c r="AK608" s="18">
        <f t="shared" si="171"/>
        <v>0.59375</v>
      </c>
    </row>
    <row r="609" spans="1:37" x14ac:dyDescent="0.35">
      <c r="A609" s="11" t="s">
        <v>1222</v>
      </c>
      <c r="B609" s="12" t="s">
        <v>1223</v>
      </c>
      <c r="C609" s="54" t="s">
        <v>1425</v>
      </c>
      <c r="D609" s="54" t="s">
        <v>18</v>
      </c>
      <c r="E609" s="66">
        <f t="shared" si="157"/>
        <v>23</v>
      </c>
      <c r="F609" s="13">
        <f t="shared" si="158"/>
        <v>0</v>
      </c>
      <c r="G609" s="67">
        <f t="shared" si="159"/>
        <v>23</v>
      </c>
      <c r="H609" s="64">
        <f t="shared" si="155"/>
        <v>23</v>
      </c>
      <c r="I609" s="80">
        <v>0</v>
      </c>
      <c r="J609" s="80">
        <v>23</v>
      </c>
      <c r="K609" s="59">
        <f t="shared" si="160"/>
        <v>23</v>
      </c>
      <c r="L609" s="59">
        <v>0</v>
      </c>
      <c r="M609" s="59">
        <v>0</v>
      </c>
      <c r="N609" s="59">
        <f t="shared" si="161"/>
        <v>0</v>
      </c>
      <c r="O609" s="15">
        <f t="shared" si="162"/>
        <v>0</v>
      </c>
      <c r="P609" s="87">
        <f t="shared" si="163"/>
        <v>0</v>
      </c>
      <c r="Q609" s="110">
        <v>0</v>
      </c>
      <c r="R609" s="59">
        <v>0</v>
      </c>
      <c r="S609" s="14">
        <v>0</v>
      </c>
      <c r="T609" s="59">
        <v>0</v>
      </c>
      <c r="U609" s="15">
        <f t="shared" si="156"/>
        <v>0</v>
      </c>
      <c r="V609" s="14">
        <v>0</v>
      </c>
      <c r="W609" s="15">
        <f t="shared" si="164"/>
        <v>0</v>
      </c>
      <c r="X609" s="14">
        <v>0</v>
      </c>
      <c r="Y609" s="75">
        <v>0</v>
      </c>
      <c r="Z609" s="87">
        <f t="shared" si="165"/>
        <v>0</v>
      </c>
      <c r="AA609" s="14">
        <f t="shared" si="166"/>
        <v>0</v>
      </c>
      <c r="AB609" s="75">
        <v>0</v>
      </c>
      <c r="AC609" s="75">
        <v>0</v>
      </c>
      <c r="AD609" s="59">
        <f t="shared" si="167"/>
        <v>0</v>
      </c>
      <c r="AE609" s="73">
        <v>0</v>
      </c>
      <c r="AF609" s="73">
        <v>0</v>
      </c>
      <c r="AG609" s="15">
        <f t="shared" si="168"/>
        <v>0</v>
      </c>
      <c r="AH609" s="16">
        <f t="shared" si="169"/>
        <v>23</v>
      </c>
      <c r="AI609" s="17">
        <f t="shared" si="170"/>
        <v>0</v>
      </c>
      <c r="AJ609" s="12">
        <f>VLOOKUP(A609,'PreK Proxy - Sept. 2024'!$A$2:$I$674,9,FALSE)</f>
        <v>37</v>
      </c>
      <c r="AK609" s="18">
        <f t="shared" si="171"/>
        <v>0.6216216216216216</v>
      </c>
    </row>
    <row r="610" spans="1:37" x14ac:dyDescent="0.35">
      <c r="A610" s="11" t="s">
        <v>1224</v>
      </c>
      <c r="B610" s="12" t="s">
        <v>1225</v>
      </c>
      <c r="C610" s="54" t="s">
        <v>1425</v>
      </c>
      <c r="D610" s="54" t="s">
        <v>18</v>
      </c>
      <c r="E610" s="66">
        <f t="shared" si="157"/>
        <v>18</v>
      </c>
      <c r="F610" s="13">
        <f t="shared" si="158"/>
        <v>18</v>
      </c>
      <c r="G610" s="67">
        <f t="shared" si="159"/>
        <v>0</v>
      </c>
      <c r="H610" s="64">
        <f t="shared" si="155"/>
        <v>18</v>
      </c>
      <c r="I610" s="80">
        <v>0</v>
      </c>
      <c r="J610" s="80">
        <v>0</v>
      </c>
      <c r="K610" s="59">
        <f t="shared" si="160"/>
        <v>0</v>
      </c>
      <c r="L610" s="59">
        <v>0</v>
      </c>
      <c r="M610" s="59">
        <v>18</v>
      </c>
      <c r="N610" s="59">
        <f t="shared" si="161"/>
        <v>18</v>
      </c>
      <c r="O610" s="15">
        <f t="shared" si="162"/>
        <v>0</v>
      </c>
      <c r="P610" s="87">
        <f t="shared" si="163"/>
        <v>0</v>
      </c>
      <c r="Q610" s="110">
        <v>0</v>
      </c>
      <c r="R610" s="59">
        <v>0</v>
      </c>
      <c r="S610" s="14">
        <v>0</v>
      </c>
      <c r="T610" s="59">
        <v>0</v>
      </c>
      <c r="U610" s="15">
        <f t="shared" si="156"/>
        <v>0</v>
      </c>
      <c r="V610" s="14">
        <v>0</v>
      </c>
      <c r="W610" s="15">
        <f t="shared" si="164"/>
        <v>0</v>
      </c>
      <c r="X610" s="14">
        <v>0</v>
      </c>
      <c r="Y610" s="75">
        <v>0</v>
      </c>
      <c r="Z610" s="87">
        <f t="shared" si="165"/>
        <v>0</v>
      </c>
      <c r="AA610" s="14">
        <f t="shared" si="166"/>
        <v>0</v>
      </c>
      <c r="AB610" s="75">
        <v>0</v>
      </c>
      <c r="AC610" s="75">
        <v>0</v>
      </c>
      <c r="AD610" s="59">
        <f t="shared" si="167"/>
        <v>0</v>
      </c>
      <c r="AE610" s="73">
        <v>0</v>
      </c>
      <c r="AF610" s="73">
        <v>0</v>
      </c>
      <c r="AG610" s="15">
        <f t="shared" si="168"/>
        <v>0</v>
      </c>
      <c r="AH610" s="16">
        <f t="shared" si="169"/>
        <v>0</v>
      </c>
      <c r="AI610" s="17">
        <f t="shared" si="170"/>
        <v>18</v>
      </c>
      <c r="AJ610" s="12">
        <f>VLOOKUP(A610,'PreK Proxy - Sept. 2024'!$A$2:$I$674,9,FALSE)</f>
        <v>23</v>
      </c>
      <c r="AK610" s="18">
        <f t="shared" si="171"/>
        <v>0.78260869565217395</v>
      </c>
    </row>
    <row r="611" spans="1:37" x14ac:dyDescent="0.35">
      <c r="A611" s="11" t="s">
        <v>1226</v>
      </c>
      <c r="B611" s="12" t="s">
        <v>1227</v>
      </c>
      <c r="C611" s="54" t="s">
        <v>1425</v>
      </c>
      <c r="D611" s="54" t="s">
        <v>18</v>
      </c>
      <c r="E611" s="66">
        <f t="shared" si="157"/>
        <v>36</v>
      </c>
      <c r="F611" s="13">
        <f t="shared" si="158"/>
        <v>36</v>
      </c>
      <c r="G611" s="67">
        <f t="shared" si="159"/>
        <v>0</v>
      </c>
      <c r="H611" s="64">
        <f t="shared" si="155"/>
        <v>36</v>
      </c>
      <c r="I611" s="80">
        <v>0</v>
      </c>
      <c r="J611" s="80">
        <v>0</v>
      </c>
      <c r="K611" s="59">
        <f t="shared" si="160"/>
        <v>0</v>
      </c>
      <c r="L611" s="59">
        <v>0</v>
      </c>
      <c r="M611" s="59">
        <v>36</v>
      </c>
      <c r="N611" s="59">
        <f t="shared" si="161"/>
        <v>36</v>
      </c>
      <c r="O611" s="15">
        <f t="shared" si="162"/>
        <v>0</v>
      </c>
      <c r="P611" s="87">
        <f t="shared" si="163"/>
        <v>0</v>
      </c>
      <c r="Q611" s="110">
        <v>0</v>
      </c>
      <c r="R611" s="59">
        <v>0</v>
      </c>
      <c r="S611" s="14">
        <v>0</v>
      </c>
      <c r="T611" s="59">
        <v>0</v>
      </c>
      <c r="U611" s="15">
        <f t="shared" si="156"/>
        <v>0</v>
      </c>
      <c r="V611" s="14">
        <v>0</v>
      </c>
      <c r="W611" s="15">
        <f t="shared" si="164"/>
        <v>0</v>
      </c>
      <c r="X611" s="14">
        <v>0</v>
      </c>
      <c r="Y611" s="75">
        <v>0</v>
      </c>
      <c r="Z611" s="87">
        <f t="shared" si="165"/>
        <v>0</v>
      </c>
      <c r="AA611" s="14">
        <f t="shared" si="166"/>
        <v>0</v>
      </c>
      <c r="AB611" s="75">
        <v>0</v>
      </c>
      <c r="AC611" s="75">
        <v>0</v>
      </c>
      <c r="AD611" s="59">
        <f t="shared" si="167"/>
        <v>0</v>
      </c>
      <c r="AE611" s="73">
        <v>0</v>
      </c>
      <c r="AF611" s="73">
        <v>0</v>
      </c>
      <c r="AG611" s="15">
        <f t="shared" si="168"/>
        <v>0</v>
      </c>
      <c r="AH611" s="16">
        <f t="shared" si="169"/>
        <v>0</v>
      </c>
      <c r="AI611" s="17">
        <f t="shared" si="170"/>
        <v>36</v>
      </c>
      <c r="AJ611" s="12">
        <f>VLOOKUP(A611,'PreK Proxy - Sept. 2024'!$A$2:$I$674,9,FALSE)</f>
        <v>66</v>
      </c>
      <c r="AK611" s="18">
        <f t="shared" si="171"/>
        <v>0.54545454545454541</v>
      </c>
    </row>
    <row r="612" spans="1:37" x14ac:dyDescent="0.35">
      <c r="A612" s="11" t="s">
        <v>1228</v>
      </c>
      <c r="B612" s="12" t="s">
        <v>1229</v>
      </c>
      <c r="C612" s="54" t="s">
        <v>1425</v>
      </c>
      <c r="D612" s="54" t="s">
        <v>18</v>
      </c>
      <c r="E612" s="66">
        <f t="shared" si="157"/>
        <v>39</v>
      </c>
      <c r="F612" s="13">
        <f t="shared" si="158"/>
        <v>39</v>
      </c>
      <c r="G612" s="67">
        <f t="shared" si="159"/>
        <v>0</v>
      </c>
      <c r="H612" s="64">
        <f t="shared" si="155"/>
        <v>39</v>
      </c>
      <c r="I612" s="80">
        <v>0</v>
      </c>
      <c r="J612" s="80">
        <v>0</v>
      </c>
      <c r="K612" s="59">
        <f t="shared" si="160"/>
        <v>0</v>
      </c>
      <c r="L612" s="59">
        <v>0</v>
      </c>
      <c r="M612" s="59">
        <v>39</v>
      </c>
      <c r="N612" s="59">
        <f t="shared" si="161"/>
        <v>39</v>
      </c>
      <c r="O612" s="15">
        <f t="shared" si="162"/>
        <v>0</v>
      </c>
      <c r="P612" s="87">
        <f t="shared" si="163"/>
        <v>0</v>
      </c>
      <c r="Q612" s="110">
        <v>0</v>
      </c>
      <c r="R612" s="59">
        <v>0</v>
      </c>
      <c r="S612" s="14">
        <v>0</v>
      </c>
      <c r="T612" s="59">
        <v>0</v>
      </c>
      <c r="U612" s="15">
        <f t="shared" si="156"/>
        <v>0</v>
      </c>
      <c r="V612" s="14">
        <v>0</v>
      </c>
      <c r="W612" s="15">
        <f t="shared" si="164"/>
        <v>0</v>
      </c>
      <c r="X612" s="14">
        <v>0</v>
      </c>
      <c r="Y612" s="75">
        <v>0</v>
      </c>
      <c r="Z612" s="87">
        <f t="shared" si="165"/>
        <v>0</v>
      </c>
      <c r="AA612" s="14">
        <f t="shared" si="166"/>
        <v>0</v>
      </c>
      <c r="AB612" s="75">
        <v>0</v>
      </c>
      <c r="AC612" s="75">
        <v>0</v>
      </c>
      <c r="AD612" s="59">
        <f t="shared" si="167"/>
        <v>0</v>
      </c>
      <c r="AE612" s="73">
        <v>0</v>
      </c>
      <c r="AF612" s="73">
        <v>0</v>
      </c>
      <c r="AG612" s="15">
        <f t="shared" si="168"/>
        <v>0</v>
      </c>
      <c r="AH612" s="16">
        <f t="shared" si="169"/>
        <v>0</v>
      </c>
      <c r="AI612" s="17">
        <f t="shared" si="170"/>
        <v>39</v>
      </c>
      <c r="AJ612" s="12">
        <f>VLOOKUP(A612,'PreK Proxy - Sept. 2024'!$A$2:$I$674,9,FALSE)</f>
        <v>47</v>
      </c>
      <c r="AK612" s="18">
        <f t="shared" si="171"/>
        <v>0.82978723404255317</v>
      </c>
    </row>
    <row r="613" spans="1:37" x14ac:dyDescent="0.35">
      <c r="A613" s="11" t="s">
        <v>1230</v>
      </c>
      <c r="B613" s="12" t="s">
        <v>1231</v>
      </c>
      <c r="C613" s="54" t="s">
        <v>1425</v>
      </c>
      <c r="D613" s="54" t="s">
        <v>18</v>
      </c>
      <c r="E613" s="66">
        <f t="shared" si="157"/>
        <v>21</v>
      </c>
      <c r="F613" s="13">
        <f t="shared" si="158"/>
        <v>0</v>
      </c>
      <c r="G613" s="67">
        <f t="shared" si="159"/>
        <v>21</v>
      </c>
      <c r="H613" s="64">
        <f t="shared" si="155"/>
        <v>21</v>
      </c>
      <c r="I613" s="80">
        <v>0</v>
      </c>
      <c r="J613" s="80">
        <v>21</v>
      </c>
      <c r="K613" s="59">
        <f t="shared" si="160"/>
        <v>21</v>
      </c>
      <c r="L613" s="59">
        <v>0</v>
      </c>
      <c r="M613" s="59">
        <v>0</v>
      </c>
      <c r="N613" s="59">
        <f t="shared" si="161"/>
        <v>0</v>
      </c>
      <c r="O613" s="15">
        <f t="shared" si="162"/>
        <v>0</v>
      </c>
      <c r="P613" s="87">
        <f t="shared" si="163"/>
        <v>0</v>
      </c>
      <c r="Q613" s="110">
        <v>0</v>
      </c>
      <c r="R613" s="59">
        <v>0</v>
      </c>
      <c r="S613" s="14">
        <v>0</v>
      </c>
      <c r="T613" s="59">
        <v>0</v>
      </c>
      <c r="U613" s="15">
        <f t="shared" si="156"/>
        <v>0</v>
      </c>
      <c r="V613" s="14">
        <v>0</v>
      </c>
      <c r="W613" s="15">
        <f t="shared" si="164"/>
        <v>0</v>
      </c>
      <c r="X613" s="14">
        <v>0</v>
      </c>
      <c r="Y613" s="75">
        <v>0</v>
      </c>
      <c r="Z613" s="87">
        <f t="shared" si="165"/>
        <v>0</v>
      </c>
      <c r="AA613" s="14">
        <f t="shared" si="166"/>
        <v>0</v>
      </c>
      <c r="AB613" s="75">
        <v>0</v>
      </c>
      <c r="AC613" s="75">
        <v>0</v>
      </c>
      <c r="AD613" s="59">
        <f t="shared" si="167"/>
        <v>0</v>
      </c>
      <c r="AE613" s="73">
        <v>0</v>
      </c>
      <c r="AF613" s="73">
        <v>0</v>
      </c>
      <c r="AG613" s="15">
        <f t="shared" si="168"/>
        <v>0</v>
      </c>
      <c r="AH613" s="16">
        <f t="shared" si="169"/>
        <v>21</v>
      </c>
      <c r="AI613" s="17">
        <f t="shared" si="170"/>
        <v>0</v>
      </c>
      <c r="AJ613" s="12">
        <f>VLOOKUP(A613,'PreK Proxy - Sept. 2024'!$A$2:$I$674,9,FALSE)</f>
        <v>17</v>
      </c>
      <c r="AK613" s="18">
        <f t="shared" si="171"/>
        <v>1</v>
      </c>
    </row>
    <row r="614" spans="1:37" x14ac:dyDescent="0.35">
      <c r="A614" s="11" t="s">
        <v>1232</v>
      </c>
      <c r="B614" s="12" t="s">
        <v>1233</v>
      </c>
      <c r="C614" s="54" t="s">
        <v>1425</v>
      </c>
      <c r="D614" s="54" t="s">
        <v>18</v>
      </c>
      <c r="E614" s="66">
        <f t="shared" si="157"/>
        <v>87</v>
      </c>
      <c r="F614" s="13">
        <f t="shared" si="158"/>
        <v>0</v>
      </c>
      <c r="G614" s="67">
        <f t="shared" si="159"/>
        <v>87</v>
      </c>
      <c r="H614" s="64">
        <f t="shared" si="155"/>
        <v>87</v>
      </c>
      <c r="I614" s="80">
        <v>0</v>
      </c>
      <c r="J614" s="80">
        <v>87</v>
      </c>
      <c r="K614" s="59">
        <f t="shared" si="160"/>
        <v>87</v>
      </c>
      <c r="L614" s="59">
        <v>0</v>
      </c>
      <c r="M614" s="59">
        <v>0</v>
      </c>
      <c r="N614" s="59">
        <f t="shared" si="161"/>
        <v>0</v>
      </c>
      <c r="O614" s="15">
        <f t="shared" si="162"/>
        <v>0</v>
      </c>
      <c r="P614" s="87">
        <f t="shared" si="163"/>
        <v>0</v>
      </c>
      <c r="Q614" s="110">
        <v>0</v>
      </c>
      <c r="R614" s="59">
        <v>0</v>
      </c>
      <c r="S614" s="14">
        <v>0</v>
      </c>
      <c r="T614" s="59">
        <v>0</v>
      </c>
      <c r="U614" s="15">
        <f t="shared" si="156"/>
        <v>0</v>
      </c>
      <c r="V614" s="14">
        <v>0</v>
      </c>
      <c r="W614" s="15">
        <f t="shared" si="164"/>
        <v>0</v>
      </c>
      <c r="X614" s="14">
        <v>0</v>
      </c>
      <c r="Y614" s="75">
        <v>0</v>
      </c>
      <c r="Z614" s="87">
        <f t="shared" si="165"/>
        <v>0</v>
      </c>
      <c r="AA614" s="14">
        <f t="shared" si="166"/>
        <v>0</v>
      </c>
      <c r="AB614" s="75">
        <v>0</v>
      </c>
      <c r="AC614" s="75">
        <v>0</v>
      </c>
      <c r="AD614" s="59">
        <f t="shared" si="167"/>
        <v>0</v>
      </c>
      <c r="AE614" s="73">
        <v>0</v>
      </c>
      <c r="AF614" s="73">
        <v>0</v>
      </c>
      <c r="AG614" s="15">
        <f t="shared" si="168"/>
        <v>0</v>
      </c>
      <c r="AH614" s="16">
        <f t="shared" si="169"/>
        <v>87</v>
      </c>
      <c r="AI614" s="17">
        <f t="shared" si="170"/>
        <v>0</v>
      </c>
      <c r="AJ614" s="12">
        <f>VLOOKUP(A614,'PreK Proxy - Sept. 2024'!$A$2:$I$674,9,FALSE)</f>
        <v>85</v>
      </c>
      <c r="AK614" s="18">
        <f t="shared" si="171"/>
        <v>1</v>
      </c>
    </row>
    <row r="615" spans="1:37" x14ac:dyDescent="0.35">
      <c r="A615" s="11" t="s">
        <v>1234</v>
      </c>
      <c r="B615" s="12" t="s">
        <v>1235</v>
      </c>
      <c r="C615" s="54" t="s">
        <v>1425</v>
      </c>
      <c r="D615" s="54" t="s">
        <v>18</v>
      </c>
      <c r="E615" s="66">
        <f t="shared" si="157"/>
        <v>0</v>
      </c>
      <c r="F615" s="13">
        <f t="shared" si="158"/>
        <v>0</v>
      </c>
      <c r="G615" s="67">
        <f t="shared" si="159"/>
        <v>0</v>
      </c>
      <c r="H615" s="64">
        <f t="shared" si="155"/>
        <v>0</v>
      </c>
      <c r="I615" s="80">
        <v>0</v>
      </c>
      <c r="J615" s="80">
        <v>0</v>
      </c>
      <c r="K615" s="59">
        <f t="shared" si="160"/>
        <v>0</v>
      </c>
      <c r="L615" s="59">
        <v>0</v>
      </c>
      <c r="M615" s="59">
        <v>0</v>
      </c>
      <c r="N615" s="59">
        <f t="shared" si="161"/>
        <v>0</v>
      </c>
      <c r="O615" s="15">
        <f t="shared" si="162"/>
        <v>0</v>
      </c>
      <c r="P615" s="87">
        <f t="shared" si="163"/>
        <v>0</v>
      </c>
      <c r="Q615" s="110">
        <v>0</v>
      </c>
      <c r="R615" s="59">
        <v>0</v>
      </c>
      <c r="S615" s="14">
        <v>0</v>
      </c>
      <c r="T615" s="59">
        <v>0</v>
      </c>
      <c r="U615" s="15">
        <f t="shared" si="156"/>
        <v>0</v>
      </c>
      <c r="V615" s="14">
        <v>0</v>
      </c>
      <c r="W615" s="15">
        <f t="shared" si="164"/>
        <v>0</v>
      </c>
      <c r="X615" s="14">
        <v>0</v>
      </c>
      <c r="Y615" s="75">
        <v>0</v>
      </c>
      <c r="Z615" s="87">
        <f t="shared" si="165"/>
        <v>0</v>
      </c>
      <c r="AA615" s="14">
        <f t="shared" si="166"/>
        <v>0</v>
      </c>
      <c r="AB615" s="75">
        <v>0</v>
      </c>
      <c r="AC615" s="75">
        <v>0</v>
      </c>
      <c r="AD615" s="59">
        <f t="shared" si="167"/>
        <v>0</v>
      </c>
      <c r="AE615" s="73">
        <v>0</v>
      </c>
      <c r="AF615" s="73">
        <v>0</v>
      </c>
      <c r="AG615" s="15">
        <f t="shared" si="168"/>
        <v>0</v>
      </c>
      <c r="AH615" s="16">
        <f t="shared" si="169"/>
        <v>0</v>
      </c>
      <c r="AI615" s="17">
        <f t="shared" si="170"/>
        <v>0</v>
      </c>
      <c r="AJ615" s="12">
        <f>VLOOKUP(A615,'PreK Proxy - Sept. 2024'!$A$2:$I$674,9,FALSE)</f>
        <v>4</v>
      </c>
      <c r="AK615" s="18">
        <f t="shared" si="171"/>
        <v>0</v>
      </c>
    </row>
    <row r="616" spans="1:37" x14ac:dyDescent="0.35">
      <c r="A616" s="11" t="s">
        <v>1236</v>
      </c>
      <c r="B616" s="12" t="s">
        <v>1237</v>
      </c>
      <c r="C616" s="54" t="s">
        <v>1425</v>
      </c>
      <c r="D616" s="54" t="s">
        <v>18</v>
      </c>
      <c r="E616" s="66">
        <f t="shared" si="157"/>
        <v>20</v>
      </c>
      <c r="F616" s="13">
        <f t="shared" si="158"/>
        <v>20</v>
      </c>
      <c r="G616" s="67">
        <f t="shared" si="159"/>
        <v>0</v>
      </c>
      <c r="H616" s="64">
        <f t="shared" si="155"/>
        <v>0</v>
      </c>
      <c r="I616" s="80">
        <v>0</v>
      </c>
      <c r="J616" s="80">
        <v>0</v>
      </c>
      <c r="K616" s="59">
        <f t="shared" si="160"/>
        <v>0</v>
      </c>
      <c r="L616" s="59">
        <v>0</v>
      </c>
      <c r="M616" s="59">
        <v>0</v>
      </c>
      <c r="N616" s="59">
        <f t="shared" si="161"/>
        <v>0</v>
      </c>
      <c r="O616" s="15">
        <f t="shared" si="162"/>
        <v>0</v>
      </c>
      <c r="P616" s="87">
        <f t="shared" si="163"/>
        <v>20</v>
      </c>
      <c r="Q616" s="110">
        <v>0</v>
      </c>
      <c r="R616" s="59">
        <v>20</v>
      </c>
      <c r="S616" s="14">
        <v>0</v>
      </c>
      <c r="T616" s="59">
        <v>0</v>
      </c>
      <c r="U616" s="15">
        <f t="shared" si="156"/>
        <v>0</v>
      </c>
      <c r="V616" s="14">
        <v>0</v>
      </c>
      <c r="W616" s="15">
        <f t="shared" si="164"/>
        <v>0</v>
      </c>
      <c r="X616" s="14">
        <v>0</v>
      </c>
      <c r="Y616" s="75">
        <v>0</v>
      </c>
      <c r="Z616" s="87">
        <f t="shared" si="165"/>
        <v>0</v>
      </c>
      <c r="AA616" s="14">
        <f t="shared" si="166"/>
        <v>0</v>
      </c>
      <c r="AB616" s="75">
        <v>0</v>
      </c>
      <c r="AC616" s="75">
        <v>0</v>
      </c>
      <c r="AD616" s="59">
        <f t="shared" si="167"/>
        <v>0</v>
      </c>
      <c r="AE616" s="73">
        <v>0</v>
      </c>
      <c r="AF616" s="73">
        <v>0</v>
      </c>
      <c r="AG616" s="15">
        <f t="shared" si="168"/>
        <v>0</v>
      </c>
      <c r="AH616" s="16">
        <f t="shared" si="169"/>
        <v>0</v>
      </c>
      <c r="AI616" s="17">
        <f t="shared" si="170"/>
        <v>20</v>
      </c>
      <c r="AJ616" s="12">
        <f>VLOOKUP(A616,'PreK Proxy - Sept. 2024'!$A$2:$I$674,9,FALSE)</f>
        <v>34</v>
      </c>
      <c r="AK616" s="18">
        <f t="shared" si="171"/>
        <v>0.58823529411764708</v>
      </c>
    </row>
    <row r="617" spans="1:37" x14ac:dyDescent="0.35">
      <c r="A617" s="11" t="s">
        <v>1238</v>
      </c>
      <c r="B617" s="12" t="s">
        <v>1239</v>
      </c>
      <c r="C617" s="54" t="s">
        <v>1425</v>
      </c>
      <c r="D617" s="54" t="s">
        <v>18</v>
      </c>
      <c r="E617" s="66">
        <f t="shared" si="157"/>
        <v>33</v>
      </c>
      <c r="F617" s="13">
        <f t="shared" si="158"/>
        <v>33</v>
      </c>
      <c r="G617" s="67">
        <f t="shared" si="159"/>
        <v>0</v>
      </c>
      <c r="H617" s="64">
        <f t="shared" si="155"/>
        <v>33</v>
      </c>
      <c r="I617" s="80">
        <v>0</v>
      </c>
      <c r="J617" s="80">
        <v>0</v>
      </c>
      <c r="K617" s="59">
        <f t="shared" si="160"/>
        <v>0</v>
      </c>
      <c r="L617" s="59">
        <v>0</v>
      </c>
      <c r="M617" s="59">
        <v>33</v>
      </c>
      <c r="N617" s="59">
        <f t="shared" si="161"/>
        <v>33</v>
      </c>
      <c r="O617" s="15">
        <f t="shared" si="162"/>
        <v>0</v>
      </c>
      <c r="P617" s="87">
        <f t="shared" si="163"/>
        <v>0</v>
      </c>
      <c r="Q617" s="110">
        <v>0</v>
      </c>
      <c r="R617" s="59">
        <v>0</v>
      </c>
      <c r="S617" s="14">
        <v>0</v>
      </c>
      <c r="T617" s="59">
        <v>0</v>
      </c>
      <c r="U617" s="15">
        <f t="shared" si="156"/>
        <v>0</v>
      </c>
      <c r="V617" s="14">
        <v>0</v>
      </c>
      <c r="W617" s="15">
        <f t="shared" si="164"/>
        <v>0</v>
      </c>
      <c r="X617" s="14">
        <v>0</v>
      </c>
      <c r="Y617" s="75">
        <v>0</v>
      </c>
      <c r="Z617" s="87">
        <f t="shared" si="165"/>
        <v>0</v>
      </c>
      <c r="AA617" s="14">
        <f t="shared" si="166"/>
        <v>0</v>
      </c>
      <c r="AB617" s="75">
        <v>0</v>
      </c>
      <c r="AC617" s="75">
        <v>0</v>
      </c>
      <c r="AD617" s="59">
        <f t="shared" si="167"/>
        <v>0</v>
      </c>
      <c r="AE617" s="73">
        <v>0</v>
      </c>
      <c r="AF617" s="73">
        <v>0</v>
      </c>
      <c r="AG617" s="15">
        <f t="shared" si="168"/>
        <v>0</v>
      </c>
      <c r="AH617" s="16">
        <f t="shared" si="169"/>
        <v>0</v>
      </c>
      <c r="AI617" s="17">
        <f t="shared" si="170"/>
        <v>33</v>
      </c>
      <c r="AJ617" s="12">
        <f>VLOOKUP(A617,'PreK Proxy - Sept. 2024'!$A$2:$I$674,9,FALSE)</f>
        <v>50</v>
      </c>
      <c r="AK617" s="18">
        <f t="shared" si="171"/>
        <v>0.66</v>
      </c>
    </row>
    <row r="618" spans="1:37" x14ac:dyDescent="0.35">
      <c r="A618" s="11" t="s">
        <v>1240</v>
      </c>
      <c r="B618" s="12" t="s">
        <v>1241</v>
      </c>
      <c r="C618" s="54" t="s">
        <v>1425</v>
      </c>
      <c r="D618" s="54" t="s">
        <v>18</v>
      </c>
      <c r="E618" s="66">
        <f t="shared" si="157"/>
        <v>30</v>
      </c>
      <c r="F618" s="13">
        <f t="shared" si="158"/>
        <v>30</v>
      </c>
      <c r="G618" s="67">
        <f t="shared" si="159"/>
        <v>0</v>
      </c>
      <c r="H618" s="64">
        <f t="shared" si="155"/>
        <v>30</v>
      </c>
      <c r="I618" s="80">
        <v>0</v>
      </c>
      <c r="J618" s="80">
        <v>0</v>
      </c>
      <c r="K618" s="59">
        <f t="shared" si="160"/>
        <v>0</v>
      </c>
      <c r="L618" s="59">
        <v>0</v>
      </c>
      <c r="M618" s="59">
        <v>30</v>
      </c>
      <c r="N618" s="59">
        <f t="shared" si="161"/>
        <v>30</v>
      </c>
      <c r="O618" s="15">
        <f t="shared" si="162"/>
        <v>0</v>
      </c>
      <c r="P618" s="87">
        <f t="shared" si="163"/>
        <v>0</v>
      </c>
      <c r="Q618" s="110">
        <v>0</v>
      </c>
      <c r="R618" s="59">
        <v>0</v>
      </c>
      <c r="S618" s="14">
        <v>0</v>
      </c>
      <c r="T618" s="59">
        <v>0</v>
      </c>
      <c r="U618" s="15">
        <f t="shared" si="156"/>
        <v>0</v>
      </c>
      <c r="V618" s="14">
        <v>0</v>
      </c>
      <c r="W618" s="15">
        <f t="shared" si="164"/>
        <v>0</v>
      </c>
      <c r="X618" s="14">
        <v>0</v>
      </c>
      <c r="Y618" s="75">
        <v>0</v>
      </c>
      <c r="Z618" s="87">
        <f t="shared" si="165"/>
        <v>0</v>
      </c>
      <c r="AA618" s="14">
        <f t="shared" si="166"/>
        <v>0</v>
      </c>
      <c r="AB618" s="75">
        <v>0</v>
      </c>
      <c r="AC618" s="75">
        <v>0</v>
      </c>
      <c r="AD618" s="59">
        <f t="shared" si="167"/>
        <v>0</v>
      </c>
      <c r="AE618" s="73">
        <v>0</v>
      </c>
      <c r="AF618" s="73">
        <v>0</v>
      </c>
      <c r="AG618" s="15">
        <f t="shared" si="168"/>
        <v>0</v>
      </c>
      <c r="AH618" s="16">
        <f t="shared" si="169"/>
        <v>0</v>
      </c>
      <c r="AI618" s="17">
        <f t="shared" si="170"/>
        <v>30</v>
      </c>
      <c r="AJ618" s="12">
        <f>VLOOKUP(A618,'PreK Proxy - Sept. 2024'!$A$2:$I$674,9,FALSE)</f>
        <v>31</v>
      </c>
      <c r="AK618" s="18">
        <f t="shared" si="171"/>
        <v>0.967741935483871</v>
      </c>
    </row>
    <row r="619" spans="1:37" x14ac:dyDescent="0.35">
      <c r="A619" s="11" t="s">
        <v>1242</v>
      </c>
      <c r="B619" s="12" t="s">
        <v>1243</v>
      </c>
      <c r="C619" s="54" t="s">
        <v>1387</v>
      </c>
      <c r="D619" s="54" t="s">
        <v>379</v>
      </c>
      <c r="E619" s="66">
        <f t="shared" si="157"/>
        <v>90</v>
      </c>
      <c r="F619" s="13">
        <f t="shared" si="158"/>
        <v>84</v>
      </c>
      <c r="G619" s="67">
        <f t="shared" si="159"/>
        <v>6</v>
      </c>
      <c r="H619" s="64">
        <f t="shared" si="155"/>
        <v>90</v>
      </c>
      <c r="I619" s="80">
        <v>0</v>
      </c>
      <c r="J619" s="80">
        <v>6</v>
      </c>
      <c r="K619" s="59">
        <f t="shared" si="160"/>
        <v>6</v>
      </c>
      <c r="L619" s="59">
        <v>0</v>
      </c>
      <c r="M619" s="59">
        <v>84</v>
      </c>
      <c r="N619" s="59">
        <f t="shared" si="161"/>
        <v>84</v>
      </c>
      <c r="O619" s="15">
        <f t="shared" si="162"/>
        <v>0</v>
      </c>
      <c r="P619" s="87">
        <f t="shared" si="163"/>
        <v>0</v>
      </c>
      <c r="Q619" s="110">
        <v>0</v>
      </c>
      <c r="R619" s="59">
        <v>0</v>
      </c>
      <c r="S619" s="14">
        <v>0</v>
      </c>
      <c r="T619" s="59">
        <v>0</v>
      </c>
      <c r="U619" s="15">
        <f t="shared" si="156"/>
        <v>0</v>
      </c>
      <c r="V619" s="14">
        <v>0</v>
      </c>
      <c r="W619" s="15">
        <f t="shared" si="164"/>
        <v>0</v>
      </c>
      <c r="X619" s="14">
        <v>0</v>
      </c>
      <c r="Y619" s="75">
        <v>0</v>
      </c>
      <c r="Z619" s="87">
        <f t="shared" si="165"/>
        <v>0</v>
      </c>
      <c r="AA619" s="14">
        <f t="shared" si="166"/>
        <v>0</v>
      </c>
      <c r="AB619" s="75">
        <v>0</v>
      </c>
      <c r="AC619" s="75">
        <v>0</v>
      </c>
      <c r="AD619" s="59">
        <f t="shared" si="167"/>
        <v>0</v>
      </c>
      <c r="AE619" s="73">
        <v>0</v>
      </c>
      <c r="AF619" s="73">
        <v>0</v>
      </c>
      <c r="AG619" s="15">
        <f t="shared" si="168"/>
        <v>0</v>
      </c>
      <c r="AH619" s="16">
        <f t="shared" si="169"/>
        <v>6</v>
      </c>
      <c r="AI619" s="17">
        <f t="shared" si="170"/>
        <v>84</v>
      </c>
      <c r="AJ619" s="12">
        <f>VLOOKUP(A619,'PreK Proxy - Sept. 2024'!$A$2:$I$674,9,FALSE)</f>
        <v>113</v>
      </c>
      <c r="AK619" s="18">
        <f t="shared" si="171"/>
        <v>0.79646017699115046</v>
      </c>
    </row>
    <row r="620" spans="1:37" x14ac:dyDescent="0.35">
      <c r="A620" s="11" t="s">
        <v>1244</v>
      </c>
      <c r="B620" s="12" t="s">
        <v>1245</v>
      </c>
      <c r="C620" s="54" t="s">
        <v>1387</v>
      </c>
      <c r="D620" s="54" t="s">
        <v>379</v>
      </c>
      <c r="E620" s="66">
        <f t="shared" si="157"/>
        <v>40</v>
      </c>
      <c r="F620" s="13">
        <f t="shared" si="158"/>
        <v>40</v>
      </c>
      <c r="G620" s="67">
        <f t="shared" si="159"/>
        <v>0</v>
      </c>
      <c r="H620" s="64">
        <f t="shared" si="155"/>
        <v>40</v>
      </c>
      <c r="I620" s="80">
        <v>0</v>
      </c>
      <c r="J620" s="80">
        <v>0</v>
      </c>
      <c r="K620" s="59">
        <f t="shared" si="160"/>
        <v>0</v>
      </c>
      <c r="L620" s="59">
        <v>0</v>
      </c>
      <c r="M620" s="59">
        <v>40</v>
      </c>
      <c r="N620" s="59">
        <f t="shared" si="161"/>
        <v>40</v>
      </c>
      <c r="O620" s="15">
        <f t="shared" si="162"/>
        <v>0</v>
      </c>
      <c r="P620" s="87">
        <f t="shared" si="163"/>
        <v>0</v>
      </c>
      <c r="Q620" s="110">
        <v>0</v>
      </c>
      <c r="R620" s="59">
        <v>0</v>
      </c>
      <c r="S620" s="14">
        <v>0</v>
      </c>
      <c r="T620" s="59">
        <v>0</v>
      </c>
      <c r="U620" s="15">
        <f t="shared" si="156"/>
        <v>0</v>
      </c>
      <c r="V620" s="14">
        <v>0</v>
      </c>
      <c r="W620" s="15">
        <f t="shared" si="164"/>
        <v>0</v>
      </c>
      <c r="X620" s="14">
        <v>0</v>
      </c>
      <c r="Y620" s="75">
        <v>0</v>
      </c>
      <c r="Z620" s="87">
        <f t="shared" si="165"/>
        <v>0</v>
      </c>
      <c r="AA620" s="14">
        <f t="shared" si="166"/>
        <v>0</v>
      </c>
      <c r="AB620" s="75">
        <v>0</v>
      </c>
      <c r="AC620" s="75">
        <v>0</v>
      </c>
      <c r="AD620" s="59">
        <f t="shared" si="167"/>
        <v>0</v>
      </c>
      <c r="AE620" s="73">
        <v>0</v>
      </c>
      <c r="AF620" s="73">
        <v>0</v>
      </c>
      <c r="AG620" s="15">
        <f t="shared" si="168"/>
        <v>0</v>
      </c>
      <c r="AH620" s="16">
        <f t="shared" si="169"/>
        <v>0</v>
      </c>
      <c r="AI620" s="17">
        <f t="shared" si="170"/>
        <v>40</v>
      </c>
      <c r="AJ620" s="12">
        <f>VLOOKUP(A620,'PreK Proxy - Sept. 2024'!$A$2:$I$674,9,FALSE)</f>
        <v>49</v>
      </c>
      <c r="AK620" s="18">
        <f t="shared" si="171"/>
        <v>0.81632653061224492</v>
      </c>
    </row>
    <row r="621" spans="1:37" x14ac:dyDescent="0.35">
      <c r="A621" s="11" t="s">
        <v>1246</v>
      </c>
      <c r="B621" s="12" t="s">
        <v>1247</v>
      </c>
      <c r="C621" s="54" t="s">
        <v>1387</v>
      </c>
      <c r="D621" s="54" t="s">
        <v>379</v>
      </c>
      <c r="E621" s="66">
        <f t="shared" si="157"/>
        <v>63</v>
      </c>
      <c r="F621" s="13">
        <f t="shared" si="158"/>
        <v>63</v>
      </c>
      <c r="G621" s="67">
        <f t="shared" si="159"/>
        <v>0</v>
      </c>
      <c r="H621" s="64">
        <f t="shared" si="155"/>
        <v>63</v>
      </c>
      <c r="I621" s="80">
        <v>0</v>
      </c>
      <c r="J621" s="80">
        <v>0</v>
      </c>
      <c r="K621" s="59">
        <f t="shared" si="160"/>
        <v>0</v>
      </c>
      <c r="L621" s="59">
        <v>15</v>
      </c>
      <c r="M621" s="59">
        <v>48</v>
      </c>
      <c r="N621" s="59">
        <f t="shared" si="161"/>
        <v>63</v>
      </c>
      <c r="O621" s="15">
        <f t="shared" si="162"/>
        <v>0</v>
      </c>
      <c r="P621" s="87">
        <f t="shared" si="163"/>
        <v>0</v>
      </c>
      <c r="Q621" s="110">
        <v>0</v>
      </c>
      <c r="R621" s="59">
        <v>0</v>
      </c>
      <c r="S621" s="14">
        <v>0</v>
      </c>
      <c r="T621" s="59">
        <v>0</v>
      </c>
      <c r="U621" s="15">
        <f t="shared" si="156"/>
        <v>0</v>
      </c>
      <c r="V621" s="14">
        <v>0</v>
      </c>
      <c r="W621" s="15">
        <f t="shared" si="164"/>
        <v>0</v>
      </c>
      <c r="X621" s="14">
        <v>0</v>
      </c>
      <c r="Y621" s="75">
        <v>0</v>
      </c>
      <c r="Z621" s="87">
        <f t="shared" si="165"/>
        <v>0</v>
      </c>
      <c r="AA621" s="14">
        <f t="shared" si="166"/>
        <v>0</v>
      </c>
      <c r="AB621" s="75">
        <v>0</v>
      </c>
      <c r="AC621" s="75">
        <v>0</v>
      </c>
      <c r="AD621" s="59">
        <f t="shared" si="167"/>
        <v>0</v>
      </c>
      <c r="AE621" s="73">
        <v>0</v>
      </c>
      <c r="AF621" s="73">
        <v>0</v>
      </c>
      <c r="AG621" s="15">
        <f t="shared" si="168"/>
        <v>0</v>
      </c>
      <c r="AH621" s="16">
        <f t="shared" si="169"/>
        <v>0</v>
      </c>
      <c r="AI621" s="17">
        <f t="shared" si="170"/>
        <v>48</v>
      </c>
      <c r="AJ621" s="12">
        <f>VLOOKUP(A621,'PreK Proxy - Sept. 2024'!$A$2:$I$674,9,FALSE)</f>
        <v>58</v>
      </c>
      <c r="AK621" s="18">
        <f t="shared" si="171"/>
        <v>0.82758620689655171</v>
      </c>
    </row>
    <row r="622" spans="1:37" x14ac:dyDescent="0.35">
      <c r="A622" s="11" t="s">
        <v>1248</v>
      </c>
      <c r="B622" s="12" t="s">
        <v>1249</v>
      </c>
      <c r="C622" s="54" t="s">
        <v>1387</v>
      </c>
      <c r="D622" s="54" t="s">
        <v>379</v>
      </c>
      <c r="E622" s="66">
        <f t="shared" si="157"/>
        <v>30</v>
      </c>
      <c r="F622" s="13">
        <f t="shared" si="158"/>
        <v>30</v>
      </c>
      <c r="G622" s="67">
        <f t="shared" si="159"/>
        <v>0</v>
      </c>
      <c r="H622" s="64">
        <f t="shared" si="155"/>
        <v>30</v>
      </c>
      <c r="I622" s="80">
        <v>0</v>
      </c>
      <c r="J622" s="80">
        <v>0</v>
      </c>
      <c r="K622" s="59">
        <f t="shared" si="160"/>
        <v>0</v>
      </c>
      <c r="L622" s="59">
        <v>0</v>
      </c>
      <c r="M622" s="59">
        <v>30</v>
      </c>
      <c r="N622" s="59">
        <f t="shared" si="161"/>
        <v>30</v>
      </c>
      <c r="O622" s="15">
        <f t="shared" si="162"/>
        <v>29</v>
      </c>
      <c r="P622" s="87">
        <f t="shared" si="163"/>
        <v>0</v>
      </c>
      <c r="Q622" s="110">
        <v>0</v>
      </c>
      <c r="R622" s="59">
        <v>0</v>
      </c>
      <c r="S622" s="14">
        <v>0</v>
      </c>
      <c r="T622" s="59">
        <v>0</v>
      </c>
      <c r="U622" s="15">
        <f t="shared" si="156"/>
        <v>0</v>
      </c>
      <c r="V622" s="14">
        <v>0</v>
      </c>
      <c r="W622" s="15">
        <f t="shared" si="164"/>
        <v>0</v>
      </c>
      <c r="X622" s="14">
        <v>0</v>
      </c>
      <c r="Y622" s="75">
        <v>29</v>
      </c>
      <c r="Z622" s="87">
        <f t="shared" si="165"/>
        <v>29</v>
      </c>
      <c r="AA622" s="14">
        <f t="shared" si="166"/>
        <v>0</v>
      </c>
      <c r="AB622" s="75">
        <v>0</v>
      </c>
      <c r="AC622" s="75">
        <v>0</v>
      </c>
      <c r="AD622" s="59">
        <f t="shared" si="167"/>
        <v>0</v>
      </c>
      <c r="AE622" s="73">
        <v>0</v>
      </c>
      <c r="AF622" s="73">
        <v>0</v>
      </c>
      <c r="AG622" s="15">
        <f t="shared" si="168"/>
        <v>0</v>
      </c>
      <c r="AH622" s="16">
        <f t="shared" si="169"/>
        <v>0</v>
      </c>
      <c r="AI622" s="17">
        <f t="shared" si="170"/>
        <v>30</v>
      </c>
      <c r="AJ622" s="12">
        <f>VLOOKUP(A622,'PreK Proxy - Sept. 2024'!$A$2:$I$674,9,FALSE)</f>
        <v>44</v>
      </c>
      <c r="AK622" s="18">
        <f t="shared" si="171"/>
        <v>0.68181818181818177</v>
      </c>
    </row>
    <row r="623" spans="1:37" x14ac:dyDescent="0.35">
      <c r="A623" s="11" t="s">
        <v>1250</v>
      </c>
      <c r="B623" s="12" t="s">
        <v>1251</v>
      </c>
      <c r="C623" s="54" t="s">
        <v>1387</v>
      </c>
      <c r="D623" s="54" t="s">
        <v>379</v>
      </c>
      <c r="E623" s="66">
        <f t="shared" si="157"/>
        <v>80</v>
      </c>
      <c r="F623" s="13">
        <f t="shared" si="158"/>
        <v>0</v>
      </c>
      <c r="G623" s="67">
        <f t="shared" si="159"/>
        <v>80</v>
      </c>
      <c r="H623" s="64">
        <f t="shared" si="155"/>
        <v>80</v>
      </c>
      <c r="I623" s="80">
        <v>0</v>
      </c>
      <c r="J623" s="80">
        <v>80</v>
      </c>
      <c r="K623" s="59">
        <f t="shared" si="160"/>
        <v>80</v>
      </c>
      <c r="L623" s="59">
        <v>0</v>
      </c>
      <c r="M623" s="59">
        <v>0</v>
      </c>
      <c r="N623" s="59">
        <f t="shared" si="161"/>
        <v>0</v>
      </c>
      <c r="O623" s="15">
        <f t="shared" si="162"/>
        <v>0</v>
      </c>
      <c r="P623" s="87">
        <f t="shared" si="163"/>
        <v>0</v>
      </c>
      <c r="Q623" s="110">
        <v>0</v>
      </c>
      <c r="R623" s="59">
        <v>0</v>
      </c>
      <c r="S623" s="14">
        <v>0</v>
      </c>
      <c r="T623" s="59">
        <v>0</v>
      </c>
      <c r="U623" s="15">
        <f t="shared" si="156"/>
        <v>0</v>
      </c>
      <c r="V623" s="14">
        <v>0</v>
      </c>
      <c r="W623" s="15">
        <f t="shared" si="164"/>
        <v>0</v>
      </c>
      <c r="X623" s="14">
        <v>0</v>
      </c>
      <c r="Y623" s="75">
        <v>0</v>
      </c>
      <c r="Z623" s="87">
        <f t="shared" si="165"/>
        <v>0</v>
      </c>
      <c r="AA623" s="14">
        <f t="shared" si="166"/>
        <v>0</v>
      </c>
      <c r="AB623" s="75">
        <v>0</v>
      </c>
      <c r="AC623" s="75">
        <v>0</v>
      </c>
      <c r="AD623" s="59">
        <f t="shared" si="167"/>
        <v>0</v>
      </c>
      <c r="AE623" s="73">
        <v>0</v>
      </c>
      <c r="AF623" s="73">
        <v>0</v>
      </c>
      <c r="AG623" s="15">
        <f t="shared" si="168"/>
        <v>0</v>
      </c>
      <c r="AH623" s="16">
        <f t="shared" si="169"/>
        <v>80</v>
      </c>
      <c r="AI623" s="17">
        <f t="shared" si="170"/>
        <v>0</v>
      </c>
      <c r="AJ623" s="12">
        <f>VLOOKUP(A623,'PreK Proxy - Sept. 2024'!$A$2:$I$674,9,FALSE)</f>
        <v>122</v>
      </c>
      <c r="AK623" s="18">
        <f t="shared" si="171"/>
        <v>0.65573770491803274</v>
      </c>
    </row>
    <row r="624" spans="1:37" x14ac:dyDescent="0.35">
      <c r="A624" s="11" t="s">
        <v>1252</v>
      </c>
      <c r="B624" s="12" t="s">
        <v>1253</v>
      </c>
      <c r="C624" s="54" t="s">
        <v>1387</v>
      </c>
      <c r="D624" s="54" t="s">
        <v>379</v>
      </c>
      <c r="E624" s="66">
        <f t="shared" si="157"/>
        <v>78</v>
      </c>
      <c r="F624" s="13">
        <f t="shared" si="158"/>
        <v>0</v>
      </c>
      <c r="G624" s="67">
        <f t="shared" si="159"/>
        <v>78</v>
      </c>
      <c r="H624" s="64">
        <f t="shared" si="155"/>
        <v>78</v>
      </c>
      <c r="I624" s="80">
        <v>0</v>
      </c>
      <c r="J624" s="80">
        <v>78</v>
      </c>
      <c r="K624" s="59">
        <f t="shared" si="160"/>
        <v>78</v>
      </c>
      <c r="L624" s="59">
        <v>0</v>
      </c>
      <c r="M624" s="59">
        <v>0</v>
      </c>
      <c r="N624" s="59">
        <f t="shared" si="161"/>
        <v>0</v>
      </c>
      <c r="O624" s="15">
        <f t="shared" si="162"/>
        <v>0</v>
      </c>
      <c r="P624" s="87">
        <f t="shared" si="163"/>
        <v>0</v>
      </c>
      <c r="Q624" s="110">
        <v>0</v>
      </c>
      <c r="R624" s="59">
        <v>0</v>
      </c>
      <c r="S624" s="14">
        <v>0</v>
      </c>
      <c r="T624" s="59">
        <v>0</v>
      </c>
      <c r="U624" s="15">
        <f t="shared" si="156"/>
        <v>0</v>
      </c>
      <c r="V624" s="14">
        <v>0</v>
      </c>
      <c r="W624" s="15">
        <f t="shared" si="164"/>
        <v>0</v>
      </c>
      <c r="X624" s="14">
        <v>0</v>
      </c>
      <c r="Y624" s="75">
        <v>0</v>
      </c>
      <c r="Z624" s="87">
        <f t="shared" si="165"/>
        <v>0</v>
      </c>
      <c r="AA624" s="14">
        <f t="shared" si="166"/>
        <v>0</v>
      </c>
      <c r="AB624" s="75">
        <v>0</v>
      </c>
      <c r="AC624" s="75">
        <v>0</v>
      </c>
      <c r="AD624" s="59">
        <f t="shared" si="167"/>
        <v>0</v>
      </c>
      <c r="AE624" s="73">
        <v>0</v>
      </c>
      <c r="AF624" s="73">
        <v>0</v>
      </c>
      <c r="AG624" s="15">
        <f t="shared" si="168"/>
        <v>0</v>
      </c>
      <c r="AH624" s="16">
        <f t="shared" si="169"/>
        <v>78</v>
      </c>
      <c r="AI624" s="17">
        <f t="shared" si="170"/>
        <v>0</v>
      </c>
      <c r="AJ624" s="12">
        <f>VLOOKUP(A624,'PreK Proxy - Sept. 2024'!$A$2:$I$674,9,FALSE)</f>
        <v>97</v>
      </c>
      <c r="AK624" s="18">
        <f t="shared" si="171"/>
        <v>0.80412371134020622</v>
      </c>
    </row>
    <row r="625" spans="1:37" x14ac:dyDescent="0.35">
      <c r="A625" s="11" t="s">
        <v>1254</v>
      </c>
      <c r="B625" s="12" t="s">
        <v>1255</v>
      </c>
      <c r="C625" s="54" t="s">
        <v>1387</v>
      </c>
      <c r="D625" s="54" t="s">
        <v>379</v>
      </c>
      <c r="E625" s="66">
        <f t="shared" si="157"/>
        <v>84</v>
      </c>
      <c r="F625" s="13">
        <f t="shared" si="158"/>
        <v>52</v>
      </c>
      <c r="G625" s="67">
        <f t="shared" si="159"/>
        <v>32</v>
      </c>
      <c r="H625" s="64">
        <f t="shared" si="155"/>
        <v>84</v>
      </c>
      <c r="I625" s="80">
        <v>32</v>
      </c>
      <c r="J625" s="80">
        <v>0</v>
      </c>
      <c r="K625" s="59">
        <f t="shared" si="160"/>
        <v>32</v>
      </c>
      <c r="L625" s="59">
        <v>0</v>
      </c>
      <c r="M625" s="59">
        <v>52</v>
      </c>
      <c r="N625" s="59">
        <f t="shared" si="161"/>
        <v>52</v>
      </c>
      <c r="O625" s="15">
        <f t="shared" si="162"/>
        <v>0</v>
      </c>
      <c r="P625" s="87">
        <f t="shared" si="163"/>
        <v>0</v>
      </c>
      <c r="Q625" s="110">
        <v>0</v>
      </c>
      <c r="R625" s="59">
        <v>0</v>
      </c>
      <c r="S625" s="14">
        <v>0</v>
      </c>
      <c r="T625" s="59">
        <v>0</v>
      </c>
      <c r="U625" s="15">
        <f t="shared" si="156"/>
        <v>0</v>
      </c>
      <c r="V625" s="14">
        <v>0</v>
      </c>
      <c r="W625" s="15">
        <f t="shared" si="164"/>
        <v>0</v>
      </c>
      <c r="X625" s="14">
        <v>0</v>
      </c>
      <c r="Y625" s="75">
        <v>0</v>
      </c>
      <c r="Z625" s="87">
        <f t="shared" si="165"/>
        <v>0</v>
      </c>
      <c r="AA625" s="14">
        <f t="shared" si="166"/>
        <v>0</v>
      </c>
      <c r="AB625" s="75">
        <v>0</v>
      </c>
      <c r="AC625" s="75">
        <v>0</v>
      </c>
      <c r="AD625" s="59">
        <f t="shared" si="167"/>
        <v>0</v>
      </c>
      <c r="AE625" s="73">
        <v>0</v>
      </c>
      <c r="AF625" s="73">
        <v>0</v>
      </c>
      <c r="AG625" s="15">
        <f t="shared" si="168"/>
        <v>0</v>
      </c>
      <c r="AH625" s="16">
        <f t="shared" si="169"/>
        <v>0</v>
      </c>
      <c r="AI625" s="17">
        <f t="shared" si="170"/>
        <v>52</v>
      </c>
      <c r="AJ625" s="12">
        <f>VLOOKUP(A625,'PreK Proxy - Sept. 2024'!$A$2:$I$674,9,FALSE)</f>
        <v>45</v>
      </c>
      <c r="AK625" s="18">
        <f t="shared" si="171"/>
        <v>1</v>
      </c>
    </row>
    <row r="626" spans="1:37" x14ac:dyDescent="0.35">
      <c r="A626" s="11" t="s">
        <v>1256</v>
      </c>
      <c r="B626" s="12" t="s">
        <v>1257</v>
      </c>
      <c r="C626" s="54" t="s">
        <v>1387</v>
      </c>
      <c r="D626" s="54" t="s">
        <v>379</v>
      </c>
      <c r="E626" s="66">
        <f t="shared" si="157"/>
        <v>92</v>
      </c>
      <c r="F626" s="13">
        <f t="shared" si="158"/>
        <v>92</v>
      </c>
      <c r="G626" s="67">
        <f t="shared" si="159"/>
        <v>0</v>
      </c>
      <c r="H626" s="64">
        <f t="shared" si="155"/>
        <v>59</v>
      </c>
      <c r="I626" s="80">
        <v>0</v>
      </c>
      <c r="J626" s="80">
        <v>0</v>
      </c>
      <c r="K626" s="59">
        <f t="shared" si="160"/>
        <v>0</v>
      </c>
      <c r="L626" s="59">
        <v>41</v>
      </c>
      <c r="M626" s="59">
        <v>18</v>
      </c>
      <c r="N626" s="59">
        <f t="shared" si="161"/>
        <v>59</v>
      </c>
      <c r="O626" s="15">
        <f t="shared" si="162"/>
        <v>1</v>
      </c>
      <c r="P626" s="87">
        <f t="shared" si="163"/>
        <v>0</v>
      </c>
      <c r="Q626" s="110">
        <v>0</v>
      </c>
      <c r="R626" s="59">
        <v>0</v>
      </c>
      <c r="S626" s="14">
        <v>18</v>
      </c>
      <c r="T626" s="59">
        <v>1</v>
      </c>
      <c r="U626" s="15">
        <f t="shared" si="156"/>
        <v>19</v>
      </c>
      <c r="V626" s="14">
        <v>15</v>
      </c>
      <c r="W626" s="15">
        <f t="shared" si="164"/>
        <v>15</v>
      </c>
      <c r="X626" s="14">
        <v>0</v>
      </c>
      <c r="Y626" s="75">
        <v>0</v>
      </c>
      <c r="Z626" s="87">
        <f t="shared" si="165"/>
        <v>0</v>
      </c>
      <c r="AA626" s="14">
        <f t="shared" si="166"/>
        <v>0</v>
      </c>
      <c r="AB626" s="75">
        <v>0</v>
      </c>
      <c r="AC626" s="75">
        <v>0</v>
      </c>
      <c r="AD626" s="59">
        <f t="shared" si="167"/>
        <v>0</v>
      </c>
      <c r="AE626" s="73">
        <v>0</v>
      </c>
      <c r="AF626" s="73">
        <v>0</v>
      </c>
      <c r="AG626" s="15">
        <f t="shared" si="168"/>
        <v>0</v>
      </c>
      <c r="AH626" s="16">
        <f t="shared" si="169"/>
        <v>0</v>
      </c>
      <c r="AI626" s="17">
        <f t="shared" si="170"/>
        <v>51</v>
      </c>
      <c r="AJ626" s="12">
        <f>VLOOKUP(A626,'PreK Proxy - Sept. 2024'!$A$2:$I$674,9,FALSE)</f>
        <v>67</v>
      </c>
      <c r="AK626" s="18">
        <f t="shared" si="171"/>
        <v>0.76119402985074625</v>
      </c>
    </row>
    <row r="627" spans="1:37" x14ac:dyDescent="0.35">
      <c r="A627" s="11" t="s">
        <v>1258</v>
      </c>
      <c r="B627" s="12" t="s">
        <v>1259</v>
      </c>
      <c r="C627" s="54" t="s">
        <v>1387</v>
      </c>
      <c r="D627" s="54" t="s">
        <v>379</v>
      </c>
      <c r="E627" s="66">
        <f t="shared" si="157"/>
        <v>45</v>
      </c>
      <c r="F627" s="13">
        <f t="shared" si="158"/>
        <v>33</v>
      </c>
      <c r="G627" s="67">
        <f t="shared" si="159"/>
        <v>12</v>
      </c>
      <c r="H627" s="64">
        <f t="shared" si="155"/>
        <v>45</v>
      </c>
      <c r="I627" s="80">
        <v>3</v>
      </c>
      <c r="J627" s="80">
        <v>9</v>
      </c>
      <c r="K627" s="59">
        <f t="shared" si="160"/>
        <v>12</v>
      </c>
      <c r="L627" s="59">
        <v>0</v>
      </c>
      <c r="M627" s="59">
        <v>33</v>
      </c>
      <c r="N627" s="59">
        <f t="shared" si="161"/>
        <v>33</v>
      </c>
      <c r="O627" s="15">
        <f t="shared" si="162"/>
        <v>0</v>
      </c>
      <c r="P627" s="87">
        <f t="shared" si="163"/>
        <v>0</v>
      </c>
      <c r="Q627" s="110">
        <v>0</v>
      </c>
      <c r="R627" s="59">
        <v>0</v>
      </c>
      <c r="S627" s="14">
        <v>0</v>
      </c>
      <c r="T627" s="59">
        <v>0</v>
      </c>
      <c r="U627" s="15">
        <f t="shared" si="156"/>
        <v>0</v>
      </c>
      <c r="V627" s="14">
        <v>0</v>
      </c>
      <c r="W627" s="15">
        <f t="shared" si="164"/>
        <v>0</v>
      </c>
      <c r="X627" s="14">
        <v>0</v>
      </c>
      <c r="Y627" s="75">
        <v>0</v>
      </c>
      <c r="Z627" s="87">
        <f t="shared" si="165"/>
        <v>0</v>
      </c>
      <c r="AA627" s="14">
        <f t="shared" si="166"/>
        <v>0</v>
      </c>
      <c r="AB627" s="75">
        <v>0</v>
      </c>
      <c r="AC627" s="75">
        <v>0</v>
      </c>
      <c r="AD627" s="59">
        <f t="shared" si="167"/>
        <v>0</v>
      </c>
      <c r="AE627" s="73">
        <v>0</v>
      </c>
      <c r="AF627" s="73">
        <v>0</v>
      </c>
      <c r="AG627" s="15">
        <f t="shared" si="168"/>
        <v>0</v>
      </c>
      <c r="AH627" s="16">
        <f t="shared" si="169"/>
        <v>9</v>
      </c>
      <c r="AI627" s="17">
        <f t="shared" si="170"/>
        <v>33</v>
      </c>
      <c r="AJ627" s="12">
        <f>VLOOKUP(A627,'PreK Proxy - Sept. 2024'!$A$2:$I$674,9,FALSE)</f>
        <v>61</v>
      </c>
      <c r="AK627" s="18">
        <f t="shared" si="171"/>
        <v>0.68852459016393441</v>
      </c>
    </row>
    <row r="628" spans="1:37" x14ac:dyDescent="0.35">
      <c r="A628" s="11" t="s">
        <v>1260</v>
      </c>
      <c r="B628" s="12" t="s">
        <v>1261</v>
      </c>
      <c r="C628" s="54" t="s">
        <v>1387</v>
      </c>
      <c r="D628" s="54" t="s">
        <v>379</v>
      </c>
      <c r="E628" s="66">
        <f t="shared" si="157"/>
        <v>80</v>
      </c>
      <c r="F628" s="13">
        <f t="shared" si="158"/>
        <v>53</v>
      </c>
      <c r="G628" s="67">
        <f t="shared" si="159"/>
        <v>27</v>
      </c>
      <c r="H628" s="64">
        <f t="shared" si="155"/>
        <v>80</v>
      </c>
      <c r="I628" s="80">
        <v>27</v>
      </c>
      <c r="J628" s="80">
        <v>0</v>
      </c>
      <c r="K628" s="59">
        <f t="shared" si="160"/>
        <v>27</v>
      </c>
      <c r="L628" s="59">
        <v>0</v>
      </c>
      <c r="M628" s="59">
        <v>53</v>
      </c>
      <c r="N628" s="59">
        <f t="shared" si="161"/>
        <v>53</v>
      </c>
      <c r="O628" s="15">
        <f t="shared" si="162"/>
        <v>0</v>
      </c>
      <c r="P628" s="87">
        <f t="shared" si="163"/>
        <v>0</v>
      </c>
      <c r="Q628" s="110">
        <v>0</v>
      </c>
      <c r="R628" s="59">
        <v>0</v>
      </c>
      <c r="S628" s="14">
        <v>0</v>
      </c>
      <c r="T628" s="59">
        <v>0</v>
      </c>
      <c r="U628" s="15">
        <f t="shared" si="156"/>
        <v>0</v>
      </c>
      <c r="V628" s="14">
        <v>0</v>
      </c>
      <c r="W628" s="15">
        <f t="shared" si="164"/>
        <v>0</v>
      </c>
      <c r="X628" s="14">
        <v>0</v>
      </c>
      <c r="Y628" s="75">
        <v>0</v>
      </c>
      <c r="Z628" s="87">
        <f t="shared" si="165"/>
        <v>0</v>
      </c>
      <c r="AA628" s="14">
        <f t="shared" si="166"/>
        <v>0</v>
      </c>
      <c r="AB628" s="75">
        <v>0</v>
      </c>
      <c r="AC628" s="75">
        <v>0</v>
      </c>
      <c r="AD628" s="59">
        <f t="shared" si="167"/>
        <v>0</v>
      </c>
      <c r="AE628" s="73">
        <v>0</v>
      </c>
      <c r="AF628" s="73">
        <v>0</v>
      </c>
      <c r="AG628" s="15">
        <f t="shared" si="168"/>
        <v>0</v>
      </c>
      <c r="AH628" s="16">
        <f t="shared" si="169"/>
        <v>0</v>
      </c>
      <c r="AI628" s="17">
        <f t="shared" si="170"/>
        <v>53</v>
      </c>
      <c r="AJ628" s="12">
        <f>VLOOKUP(A628,'PreK Proxy - Sept. 2024'!$A$2:$I$674,9,FALSE)</f>
        <v>69</v>
      </c>
      <c r="AK628" s="18">
        <f t="shared" si="171"/>
        <v>0.76811594202898548</v>
      </c>
    </row>
    <row r="629" spans="1:37" x14ac:dyDescent="0.35">
      <c r="A629" s="11" t="s">
        <v>1262</v>
      </c>
      <c r="B629" s="12" t="s">
        <v>1263</v>
      </c>
      <c r="C629" s="54" t="s">
        <v>1387</v>
      </c>
      <c r="D629" s="54" t="s">
        <v>379</v>
      </c>
      <c r="E629" s="66">
        <f t="shared" si="157"/>
        <v>47</v>
      </c>
      <c r="F629" s="13">
        <f t="shared" si="158"/>
        <v>47</v>
      </c>
      <c r="G629" s="67">
        <f t="shared" si="159"/>
        <v>0</v>
      </c>
      <c r="H629" s="64">
        <f t="shared" si="155"/>
        <v>20</v>
      </c>
      <c r="I629" s="80">
        <v>0</v>
      </c>
      <c r="J629" s="80">
        <v>0</v>
      </c>
      <c r="K629" s="59">
        <f t="shared" si="160"/>
        <v>0</v>
      </c>
      <c r="L629" s="59">
        <v>1</v>
      </c>
      <c r="M629" s="59">
        <v>19</v>
      </c>
      <c r="N629" s="59">
        <f t="shared" si="161"/>
        <v>20</v>
      </c>
      <c r="O629" s="15">
        <f t="shared" si="162"/>
        <v>0</v>
      </c>
      <c r="P629" s="87">
        <f t="shared" si="163"/>
        <v>0</v>
      </c>
      <c r="Q629" s="110">
        <v>0</v>
      </c>
      <c r="R629" s="59">
        <v>0</v>
      </c>
      <c r="S629" s="14">
        <v>27</v>
      </c>
      <c r="T629" s="59">
        <v>0</v>
      </c>
      <c r="U629" s="15">
        <f t="shared" si="156"/>
        <v>27</v>
      </c>
      <c r="V629" s="14">
        <v>0</v>
      </c>
      <c r="W629" s="15">
        <f t="shared" si="164"/>
        <v>0</v>
      </c>
      <c r="X629" s="14">
        <v>0</v>
      </c>
      <c r="Y629" s="75">
        <v>0</v>
      </c>
      <c r="Z629" s="87">
        <f t="shared" si="165"/>
        <v>0</v>
      </c>
      <c r="AA629" s="14">
        <f t="shared" si="166"/>
        <v>0</v>
      </c>
      <c r="AB629" s="75">
        <v>0</v>
      </c>
      <c r="AC629" s="75">
        <v>0</v>
      </c>
      <c r="AD629" s="59">
        <f t="shared" si="167"/>
        <v>0</v>
      </c>
      <c r="AE629" s="73">
        <v>0</v>
      </c>
      <c r="AF629" s="73">
        <v>0</v>
      </c>
      <c r="AG629" s="15">
        <f t="shared" si="168"/>
        <v>0</v>
      </c>
      <c r="AH629" s="16">
        <f t="shared" si="169"/>
        <v>0</v>
      </c>
      <c r="AI629" s="17">
        <f t="shared" si="170"/>
        <v>46</v>
      </c>
      <c r="AJ629" s="12">
        <f>VLOOKUP(A629,'PreK Proxy - Sept. 2024'!$A$2:$I$674,9,FALSE)</f>
        <v>45</v>
      </c>
      <c r="AK629" s="18">
        <f t="shared" si="171"/>
        <v>1</v>
      </c>
    </row>
    <row r="630" spans="1:37" x14ac:dyDescent="0.35">
      <c r="A630" s="11" t="s">
        <v>1264</v>
      </c>
      <c r="B630" s="12" t="s">
        <v>1265</v>
      </c>
      <c r="C630" s="54" t="s">
        <v>1419</v>
      </c>
      <c r="D630" s="54" t="s">
        <v>251</v>
      </c>
      <c r="E630" s="66">
        <f t="shared" si="157"/>
        <v>0</v>
      </c>
      <c r="F630" s="13">
        <f t="shared" si="158"/>
        <v>0</v>
      </c>
      <c r="G630" s="67">
        <f t="shared" si="159"/>
        <v>0</v>
      </c>
      <c r="H630" s="64">
        <f t="shared" si="155"/>
        <v>0</v>
      </c>
      <c r="I630" s="80">
        <v>0</v>
      </c>
      <c r="J630" s="80">
        <v>0</v>
      </c>
      <c r="K630" s="59">
        <f t="shared" si="160"/>
        <v>0</v>
      </c>
      <c r="L630" s="59">
        <v>0</v>
      </c>
      <c r="M630" s="59">
        <v>0</v>
      </c>
      <c r="N630" s="59">
        <f t="shared" si="161"/>
        <v>0</v>
      </c>
      <c r="O630" s="15">
        <f t="shared" si="162"/>
        <v>0</v>
      </c>
      <c r="P630" s="87">
        <f t="shared" si="163"/>
        <v>0</v>
      </c>
      <c r="Q630" s="110">
        <v>0</v>
      </c>
      <c r="R630" s="59">
        <v>0</v>
      </c>
      <c r="S630" s="14">
        <v>0</v>
      </c>
      <c r="T630" s="59">
        <v>0</v>
      </c>
      <c r="U630" s="15">
        <f t="shared" si="156"/>
        <v>0</v>
      </c>
      <c r="V630" s="14">
        <v>0</v>
      </c>
      <c r="W630" s="15">
        <f t="shared" si="164"/>
        <v>0</v>
      </c>
      <c r="X630" s="14">
        <v>0</v>
      </c>
      <c r="Y630" s="75">
        <v>0</v>
      </c>
      <c r="Z630" s="87">
        <f t="shared" si="165"/>
        <v>0</v>
      </c>
      <c r="AA630" s="14">
        <f t="shared" si="166"/>
        <v>0</v>
      </c>
      <c r="AB630" s="75">
        <v>0</v>
      </c>
      <c r="AC630" s="75">
        <v>0</v>
      </c>
      <c r="AD630" s="59">
        <f t="shared" si="167"/>
        <v>0</v>
      </c>
      <c r="AE630" s="73">
        <v>0</v>
      </c>
      <c r="AF630" s="73">
        <v>0</v>
      </c>
      <c r="AG630" s="15">
        <f t="shared" si="168"/>
        <v>0</v>
      </c>
      <c r="AH630" s="16">
        <f t="shared" si="169"/>
        <v>0</v>
      </c>
      <c r="AI630" s="17">
        <f t="shared" si="170"/>
        <v>0</v>
      </c>
      <c r="AJ630" s="12">
        <f>VLOOKUP(A630,'PreK Proxy - Sept. 2024'!$A$2:$I$674,9,FALSE)</f>
        <v>158</v>
      </c>
      <c r="AK630" s="18">
        <f t="shared" si="171"/>
        <v>0</v>
      </c>
    </row>
    <row r="631" spans="1:37" x14ac:dyDescent="0.35">
      <c r="A631" s="11" t="s">
        <v>1266</v>
      </c>
      <c r="B631" s="12" t="s">
        <v>1267</v>
      </c>
      <c r="C631" s="54" t="s">
        <v>1419</v>
      </c>
      <c r="D631" s="54" t="s">
        <v>251</v>
      </c>
      <c r="E631" s="66">
        <f t="shared" si="157"/>
        <v>47</v>
      </c>
      <c r="F631" s="13">
        <f t="shared" si="158"/>
        <v>47</v>
      </c>
      <c r="G631" s="67">
        <f t="shared" si="159"/>
        <v>0</v>
      </c>
      <c r="H631" s="64">
        <f t="shared" si="155"/>
        <v>11</v>
      </c>
      <c r="I631" s="80">
        <v>0</v>
      </c>
      <c r="J631" s="80">
        <v>0</v>
      </c>
      <c r="K631" s="59">
        <f t="shared" si="160"/>
        <v>0</v>
      </c>
      <c r="L631" s="59">
        <v>0</v>
      </c>
      <c r="M631" s="59">
        <v>11</v>
      </c>
      <c r="N631" s="59">
        <f t="shared" si="161"/>
        <v>11</v>
      </c>
      <c r="O631" s="15">
        <f t="shared" si="162"/>
        <v>0</v>
      </c>
      <c r="P631" s="87">
        <f t="shared" si="163"/>
        <v>0</v>
      </c>
      <c r="Q631" s="110">
        <v>0</v>
      </c>
      <c r="R631" s="59">
        <v>0</v>
      </c>
      <c r="S631" s="14">
        <v>0</v>
      </c>
      <c r="T631" s="59">
        <v>0</v>
      </c>
      <c r="U631" s="15">
        <f t="shared" si="156"/>
        <v>0</v>
      </c>
      <c r="V631" s="14">
        <v>36</v>
      </c>
      <c r="W631" s="15">
        <f t="shared" si="164"/>
        <v>36</v>
      </c>
      <c r="X631" s="14">
        <v>0</v>
      </c>
      <c r="Y631" s="75">
        <v>0</v>
      </c>
      <c r="Z631" s="87">
        <f t="shared" si="165"/>
        <v>0</v>
      </c>
      <c r="AA631" s="14">
        <f t="shared" si="166"/>
        <v>0</v>
      </c>
      <c r="AB631" s="75">
        <v>0</v>
      </c>
      <c r="AC631" s="75">
        <v>0</v>
      </c>
      <c r="AD631" s="59">
        <f t="shared" si="167"/>
        <v>0</v>
      </c>
      <c r="AE631" s="73">
        <v>0</v>
      </c>
      <c r="AF631" s="73">
        <v>0</v>
      </c>
      <c r="AG631" s="15">
        <f t="shared" si="168"/>
        <v>0</v>
      </c>
      <c r="AH631" s="16">
        <f t="shared" si="169"/>
        <v>0</v>
      </c>
      <c r="AI631" s="17">
        <f t="shared" si="170"/>
        <v>47</v>
      </c>
      <c r="AJ631" s="12">
        <f>VLOOKUP(A631,'PreK Proxy - Sept. 2024'!$A$2:$I$674,9,FALSE)</f>
        <v>213</v>
      </c>
      <c r="AK631" s="18">
        <f t="shared" si="171"/>
        <v>0.22065727699530516</v>
      </c>
    </row>
    <row r="632" spans="1:37" x14ac:dyDescent="0.35">
      <c r="A632" s="11" t="s">
        <v>1268</v>
      </c>
      <c r="B632" s="12" t="s">
        <v>1269</v>
      </c>
      <c r="C632" s="54" t="s">
        <v>1419</v>
      </c>
      <c r="D632" s="54" t="s">
        <v>251</v>
      </c>
      <c r="E632" s="66">
        <f t="shared" si="157"/>
        <v>54</v>
      </c>
      <c r="F632" s="13">
        <f t="shared" si="158"/>
        <v>54</v>
      </c>
      <c r="G632" s="67">
        <f t="shared" si="159"/>
        <v>0</v>
      </c>
      <c r="H632" s="64">
        <f t="shared" si="155"/>
        <v>18</v>
      </c>
      <c r="I632" s="80">
        <v>0</v>
      </c>
      <c r="J632" s="80">
        <v>0</v>
      </c>
      <c r="K632" s="59">
        <f t="shared" si="160"/>
        <v>0</v>
      </c>
      <c r="L632" s="59">
        <v>0</v>
      </c>
      <c r="M632" s="59">
        <v>18</v>
      </c>
      <c r="N632" s="59">
        <f t="shared" si="161"/>
        <v>18</v>
      </c>
      <c r="O632" s="15">
        <f t="shared" si="162"/>
        <v>0</v>
      </c>
      <c r="P632" s="87">
        <f t="shared" si="163"/>
        <v>36</v>
      </c>
      <c r="Q632" s="110">
        <v>0</v>
      </c>
      <c r="R632" s="59">
        <v>36</v>
      </c>
      <c r="S632" s="14">
        <v>0</v>
      </c>
      <c r="T632" s="59">
        <v>0</v>
      </c>
      <c r="U632" s="15">
        <f t="shared" si="156"/>
        <v>0</v>
      </c>
      <c r="V632" s="14">
        <v>0</v>
      </c>
      <c r="W632" s="15">
        <f t="shared" si="164"/>
        <v>0</v>
      </c>
      <c r="X632" s="14">
        <v>0</v>
      </c>
      <c r="Y632" s="75">
        <v>0</v>
      </c>
      <c r="Z632" s="87">
        <f t="shared" si="165"/>
        <v>0</v>
      </c>
      <c r="AA632" s="14">
        <f t="shared" si="166"/>
        <v>0</v>
      </c>
      <c r="AB632" s="75">
        <v>0</v>
      </c>
      <c r="AC632" s="75">
        <v>0</v>
      </c>
      <c r="AD632" s="59">
        <f t="shared" si="167"/>
        <v>0</v>
      </c>
      <c r="AE632" s="73">
        <v>0</v>
      </c>
      <c r="AF632" s="73">
        <v>0</v>
      </c>
      <c r="AG632" s="15">
        <f t="shared" si="168"/>
        <v>0</v>
      </c>
      <c r="AH632" s="16">
        <f t="shared" si="169"/>
        <v>0</v>
      </c>
      <c r="AI632" s="17">
        <f t="shared" si="170"/>
        <v>54</v>
      </c>
      <c r="AJ632" s="12">
        <f>VLOOKUP(A632,'PreK Proxy - Sept. 2024'!$A$2:$I$674,9,FALSE)</f>
        <v>104</v>
      </c>
      <c r="AK632" s="18">
        <f t="shared" si="171"/>
        <v>0.51923076923076927</v>
      </c>
    </row>
    <row r="633" spans="1:37" x14ac:dyDescent="0.35">
      <c r="A633" s="11" t="s">
        <v>1270</v>
      </c>
      <c r="B633" s="12" t="s">
        <v>1271</v>
      </c>
      <c r="C633" s="54" t="s">
        <v>1419</v>
      </c>
      <c r="D633" s="54" t="s">
        <v>251</v>
      </c>
      <c r="E633" s="66">
        <f t="shared" si="157"/>
        <v>59</v>
      </c>
      <c r="F633" s="13">
        <f t="shared" si="158"/>
        <v>59</v>
      </c>
      <c r="G633" s="67">
        <f t="shared" si="159"/>
        <v>0</v>
      </c>
      <c r="H633" s="64">
        <f t="shared" si="155"/>
        <v>25</v>
      </c>
      <c r="I633" s="80">
        <v>0</v>
      </c>
      <c r="J633" s="80">
        <v>0</v>
      </c>
      <c r="K633" s="59">
        <f t="shared" si="160"/>
        <v>0</v>
      </c>
      <c r="L633" s="59">
        <v>0</v>
      </c>
      <c r="M633" s="59">
        <v>25</v>
      </c>
      <c r="N633" s="59">
        <f t="shared" si="161"/>
        <v>25</v>
      </c>
      <c r="O633" s="15">
        <f t="shared" si="162"/>
        <v>0</v>
      </c>
      <c r="P633" s="87">
        <f t="shared" si="163"/>
        <v>34</v>
      </c>
      <c r="Q633" s="110">
        <v>0</v>
      </c>
      <c r="R633" s="59">
        <v>34</v>
      </c>
      <c r="S633" s="14">
        <v>0</v>
      </c>
      <c r="T633" s="59">
        <v>0</v>
      </c>
      <c r="U633" s="15">
        <f t="shared" si="156"/>
        <v>0</v>
      </c>
      <c r="V633" s="14">
        <v>0</v>
      </c>
      <c r="W633" s="15">
        <f t="shared" si="164"/>
        <v>0</v>
      </c>
      <c r="X633" s="14">
        <v>0</v>
      </c>
      <c r="Y633" s="75">
        <v>0</v>
      </c>
      <c r="Z633" s="87">
        <f t="shared" si="165"/>
        <v>0</v>
      </c>
      <c r="AA633" s="14">
        <f t="shared" si="166"/>
        <v>0</v>
      </c>
      <c r="AB633" s="75">
        <v>0</v>
      </c>
      <c r="AC633" s="75">
        <v>0</v>
      </c>
      <c r="AD633" s="59">
        <f t="shared" si="167"/>
        <v>0</v>
      </c>
      <c r="AE633" s="73">
        <v>0</v>
      </c>
      <c r="AF633" s="73">
        <v>0</v>
      </c>
      <c r="AG633" s="15">
        <f t="shared" si="168"/>
        <v>0</v>
      </c>
      <c r="AH633" s="16">
        <f t="shared" si="169"/>
        <v>0</v>
      </c>
      <c r="AI633" s="17">
        <f t="shared" si="170"/>
        <v>59</v>
      </c>
      <c r="AJ633" s="12">
        <f>VLOOKUP(A633,'PreK Proxy - Sept. 2024'!$A$2:$I$674,9,FALSE)</f>
        <v>121</v>
      </c>
      <c r="AK633" s="18">
        <f t="shared" si="171"/>
        <v>0.48760330578512395</v>
      </c>
    </row>
    <row r="634" spans="1:37" x14ac:dyDescent="0.35">
      <c r="A634" s="11" t="s">
        <v>1272</v>
      </c>
      <c r="B634" s="12" t="s">
        <v>1273</v>
      </c>
      <c r="C634" s="54" t="s">
        <v>1419</v>
      </c>
      <c r="D634" s="54" t="s">
        <v>251</v>
      </c>
      <c r="E634" s="66">
        <f t="shared" si="157"/>
        <v>0</v>
      </c>
      <c r="F634" s="13">
        <f t="shared" si="158"/>
        <v>0</v>
      </c>
      <c r="G634" s="67">
        <f t="shared" si="159"/>
        <v>0</v>
      </c>
      <c r="H634" s="64">
        <f t="shared" si="155"/>
        <v>0</v>
      </c>
      <c r="I634" s="80">
        <v>0</v>
      </c>
      <c r="J634" s="80">
        <v>0</v>
      </c>
      <c r="K634" s="59">
        <f t="shared" si="160"/>
        <v>0</v>
      </c>
      <c r="L634" s="59">
        <v>0</v>
      </c>
      <c r="M634" s="59">
        <v>0</v>
      </c>
      <c r="N634" s="59">
        <f t="shared" si="161"/>
        <v>0</v>
      </c>
      <c r="O634" s="15">
        <f t="shared" si="162"/>
        <v>0</v>
      </c>
      <c r="P634" s="87">
        <f t="shared" si="163"/>
        <v>0</v>
      </c>
      <c r="Q634" s="110">
        <v>0</v>
      </c>
      <c r="R634" s="59">
        <v>0</v>
      </c>
      <c r="S634" s="14">
        <v>0</v>
      </c>
      <c r="T634" s="59">
        <v>0</v>
      </c>
      <c r="U634" s="15">
        <f t="shared" si="156"/>
        <v>0</v>
      </c>
      <c r="V634" s="14">
        <v>0</v>
      </c>
      <c r="W634" s="15">
        <f t="shared" si="164"/>
        <v>0</v>
      </c>
      <c r="X634" s="14">
        <v>0</v>
      </c>
      <c r="Y634" s="75">
        <v>0</v>
      </c>
      <c r="Z634" s="87">
        <f t="shared" si="165"/>
        <v>0</v>
      </c>
      <c r="AA634" s="14">
        <f t="shared" si="166"/>
        <v>0</v>
      </c>
      <c r="AB634" s="75">
        <v>0</v>
      </c>
      <c r="AC634" s="75">
        <v>0</v>
      </c>
      <c r="AD634" s="59">
        <f t="shared" si="167"/>
        <v>0</v>
      </c>
      <c r="AE634" s="73">
        <v>0</v>
      </c>
      <c r="AF634" s="73">
        <v>0</v>
      </c>
      <c r="AG634" s="15">
        <f t="shared" si="168"/>
        <v>0</v>
      </c>
      <c r="AH634" s="16">
        <f t="shared" si="169"/>
        <v>0</v>
      </c>
      <c r="AI634" s="17">
        <f t="shared" si="170"/>
        <v>0</v>
      </c>
      <c r="AJ634" s="12">
        <f>VLOOKUP(A634,'PreK Proxy - Sept. 2024'!$A$2:$I$674,9,FALSE)</f>
        <v>171</v>
      </c>
      <c r="AK634" s="18">
        <f t="shared" si="171"/>
        <v>0</v>
      </c>
    </row>
    <row r="635" spans="1:37" x14ac:dyDescent="0.35">
      <c r="A635" s="11" t="s">
        <v>1274</v>
      </c>
      <c r="B635" s="12" t="s">
        <v>1275</v>
      </c>
      <c r="C635" s="54" t="s">
        <v>1419</v>
      </c>
      <c r="D635" s="54" t="s">
        <v>251</v>
      </c>
      <c r="E635" s="66">
        <f t="shared" si="157"/>
        <v>33</v>
      </c>
      <c r="F635" s="13">
        <f t="shared" si="158"/>
        <v>31</v>
      </c>
      <c r="G635" s="67">
        <f t="shared" si="159"/>
        <v>2</v>
      </c>
      <c r="H635" s="64">
        <f t="shared" si="155"/>
        <v>31</v>
      </c>
      <c r="I635" s="80">
        <v>0</v>
      </c>
      <c r="J635" s="80">
        <v>1</v>
      </c>
      <c r="K635" s="59">
        <f t="shared" si="160"/>
        <v>1</v>
      </c>
      <c r="L635" s="59">
        <v>0</v>
      </c>
      <c r="M635" s="59">
        <v>30</v>
      </c>
      <c r="N635" s="59">
        <f t="shared" si="161"/>
        <v>30</v>
      </c>
      <c r="O635" s="15">
        <f t="shared" si="162"/>
        <v>0</v>
      </c>
      <c r="P635" s="87">
        <f t="shared" si="163"/>
        <v>2</v>
      </c>
      <c r="Q635" s="110">
        <v>1</v>
      </c>
      <c r="R635" s="59">
        <v>1</v>
      </c>
      <c r="S635" s="14">
        <v>0</v>
      </c>
      <c r="T635" s="59">
        <v>0</v>
      </c>
      <c r="U635" s="15">
        <f t="shared" si="156"/>
        <v>0</v>
      </c>
      <c r="V635" s="14">
        <v>0</v>
      </c>
      <c r="W635" s="15">
        <f t="shared" si="164"/>
        <v>0</v>
      </c>
      <c r="X635" s="14">
        <v>0</v>
      </c>
      <c r="Y635" s="75">
        <v>0</v>
      </c>
      <c r="Z635" s="87">
        <f t="shared" si="165"/>
        <v>0</v>
      </c>
      <c r="AA635" s="14">
        <f t="shared" si="166"/>
        <v>0</v>
      </c>
      <c r="AB635" s="75">
        <v>0</v>
      </c>
      <c r="AC635" s="75">
        <v>0</v>
      </c>
      <c r="AD635" s="59">
        <f t="shared" si="167"/>
        <v>0</v>
      </c>
      <c r="AE635" s="73">
        <v>0</v>
      </c>
      <c r="AF635" s="73">
        <v>0</v>
      </c>
      <c r="AG635" s="15">
        <f t="shared" si="168"/>
        <v>0</v>
      </c>
      <c r="AH635" s="16">
        <f t="shared" si="169"/>
        <v>2</v>
      </c>
      <c r="AI635" s="17">
        <f t="shared" si="170"/>
        <v>31</v>
      </c>
      <c r="AJ635" s="12">
        <f>VLOOKUP(A635,'PreK Proxy - Sept. 2024'!$A$2:$I$674,9,FALSE)</f>
        <v>59</v>
      </c>
      <c r="AK635" s="18">
        <f t="shared" si="171"/>
        <v>0.55932203389830504</v>
      </c>
    </row>
    <row r="636" spans="1:37" x14ac:dyDescent="0.35">
      <c r="A636" s="11" t="s">
        <v>1276</v>
      </c>
      <c r="B636" s="12" t="s">
        <v>1277</v>
      </c>
      <c r="C636" s="54" t="s">
        <v>1419</v>
      </c>
      <c r="D636" s="54" t="s">
        <v>251</v>
      </c>
      <c r="E636" s="66">
        <f t="shared" si="157"/>
        <v>0</v>
      </c>
      <c r="F636" s="13">
        <f t="shared" si="158"/>
        <v>0</v>
      </c>
      <c r="G636" s="67">
        <f t="shared" si="159"/>
        <v>0</v>
      </c>
      <c r="H636" s="64">
        <f t="shared" si="155"/>
        <v>0</v>
      </c>
      <c r="I636" s="80">
        <v>0</v>
      </c>
      <c r="J636" s="80">
        <v>0</v>
      </c>
      <c r="K636" s="59">
        <f t="shared" si="160"/>
        <v>0</v>
      </c>
      <c r="L636" s="59">
        <v>0</v>
      </c>
      <c r="M636" s="59">
        <v>0</v>
      </c>
      <c r="N636" s="59">
        <f t="shared" si="161"/>
        <v>0</v>
      </c>
      <c r="O636" s="15">
        <f t="shared" si="162"/>
        <v>0</v>
      </c>
      <c r="P636" s="87">
        <f t="shared" si="163"/>
        <v>0</v>
      </c>
      <c r="Q636" s="110">
        <v>0</v>
      </c>
      <c r="R636" s="59">
        <v>0</v>
      </c>
      <c r="S636" s="14">
        <v>0</v>
      </c>
      <c r="T636" s="59">
        <v>0</v>
      </c>
      <c r="U636" s="15">
        <f t="shared" si="156"/>
        <v>0</v>
      </c>
      <c r="V636" s="14">
        <v>0</v>
      </c>
      <c r="W636" s="15">
        <f t="shared" si="164"/>
        <v>0</v>
      </c>
      <c r="X636" s="14">
        <v>0</v>
      </c>
      <c r="Y636" s="75">
        <v>0</v>
      </c>
      <c r="Z636" s="87">
        <f t="shared" si="165"/>
        <v>0</v>
      </c>
      <c r="AA636" s="14">
        <f t="shared" si="166"/>
        <v>0</v>
      </c>
      <c r="AB636" s="75">
        <v>0</v>
      </c>
      <c r="AC636" s="75">
        <v>0</v>
      </c>
      <c r="AD636" s="59">
        <f t="shared" si="167"/>
        <v>0</v>
      </c>
      <c r="AE636" s="73">
        <v>0</v>
      </c>
      <c r="AF636" s="73">
        <v>0</v>
      </c>
      <c r="AG636" s="15">
        <f t="shared" si="168"/>
        <v>0</v>
      </c>
      <c r="AH636" s="16">
        <f t="shared" si="169"/>
        <v>0</v>
      </c>
      <c r="AI636" s="17">
        <f t="shared" si="170"/>
        <v>0</v>
      </c>
      <c r="AJ636" s="12">
        <f>VLOOKUP(A636,'PreK Proxy - Sept. 2024'!$A$2:$I$674,9,FALSE)</f>
        <v>143</v>
      </c>
      <c r="AK636" s="18">
        <f t="shared" si="171"/>
        <v>0</v>
      </c>
    </row>
    <row r="637" spans="1:37" x14ac:dyDescent="0.35">
      <c r="A637" s="11" t="s">
        <v>1278</v>
      </c>
      <c r="B637" s="12" t="s">
        <v>1279</v>
      </c>
      <c r="C637" s="54" t="s">
        <v>1419</v>
      </c>
      <c r="D637" s="54" t="s">
        <v>251</v>
      </c>
      <c r="E637" s="66">
        <f t="shared" si="157"/>
        <v>108</v>
      </c>
      <c r="F637" s="13">
        <f t="shared" si="158"/>
        <v>108</v>
      </c>
      <c r="G637" s="67">
        <f t="shared" si="159"/>
        <v>0</v>
      </c>
      <c r="H637" s="64">
        <f t="shared" si="155"/>
        <v>108</v>
      </c>
      <c r="I637" s="80">
        <v>0</v>
      </c>
      <c r="J637" s="80">
        <v>0</v>
      </c>
      <c r="K637" s="59">
        <f t="shared" si="160"/>
        <v>0</v>
      </c>
      <c r="L637" s="59">
        <v>0</v>
      </c>
      <c r="M637" s="59">
        <v>108</v>
      </c>
      <c r="N637" s="59">
        <f t="shared" si="161"/>
        <v>108</v>
      </c>
      <c r="O637" s="15">
        <f t="shared" si="162"/>
        <v>0</v>
      </c>
      <c r="P637" s="87">
        <f t="shared" si="163"/>
        <v>0</v>
      </c>
      <c r="Q637" s="110">
        <v>0</v>
      </c>
      <c r="R637" s="59">
        <v>0</v>
      </c>
      <c r="S637" s="14">
        <v>0</v>
      </c>
      <c r="T637" s="59">
        <v>0</v>
      </c>
      <c r="U637" s="15">
        <f t="shared" si="156"/>
        <v>0</v>
      </c>
      <c r="V637" s="14">
        <v>0</v>
      </c>
      <c r="W637" s="15">
        <f t="shared" si="164"/>
        <v>0</v>
      </c>
      <c r="X637" s="14">
        <v>0</v>
      </c>
      <c r="Y637" s="75">
        <v>0</v>
      </c>
      <c r="Z637" s="87">
        <f t="shared" si="165"/>
        <v>0</v>
      </c>
      <c r="AA637" s="14">
        <f t="shared" si="166"/>
        <v>0</v>
      </c>
      <c r="AB637" s="75">
        <v>0</v>
      </c>
      <c r="AC637" s="75">
        <v>0</v>
      </c>
      <c r="AD637" s="59">
        <f t="shared" si="167"/>
        <v>0</v>
      </c>
      <c r="AE637" s="73">
        <v>0</v>
      </c>
      <c r="AF637" s="73">
        <v>0</v>
      </c>
      <c r="AG637" s="15">
        <f t="shared" si="168"/>
        <v>0</v>
      </c>
      <c r="AH637" s="16">
        <f t="shared" si="169"/>
        <v>0</v>
      </c>
      <c r="AI637" s="17">
        <f t="shared" si="170"/>
        <v>108</v>
      </c>
      <c r="AJ637" s="12">
        <f>VLOOKUP(A637,'PreK Proxy - Sept. 2024'!$A$2:$I$674,9,FALSE)</f>
        <v>198</v>
      </c>
      <c r="AK637" s="18">
        <f t="shared" si="171"/>
        <v>0.54545454545454541</v>
      </c>
    </row>
    <row r="638" spans="1:37" x14ac:dyDescent="0.35">
      <c r="A638" s="11" t="s">
        <v>1280</v>
      </c>
      <c r="B638" s="12" t="s">
        <v>1281</v>
      </c>
      <c r="C638" s="54" t="s">
        <v>1419</v>
      </c>
      <c r="D638" s="54" t="s">
        <v>251</v>
      </c>
      <c r="E638" s="66">
        <f t="shared" si="157"/>
        <v>0</v>
      </c>
      <c r="F638" s="13">
        <f t="shared" si="158"/>
        <v>0</v>
      </c>
      <c r="G638" s="67">
        <f t="shared" si="159"/>
        <v>0</v>
      </c>
      <c r="H638" s="64">
        <f t="shared" si="155"/>
        <v>0</v>
      </c>
      <c r="I638" s="80">
        <v>0</v>
      </c>
      <c r="J638" s="80">
        <v>0</v>
      </c>
      <c r="K638" s="59">
        <f t="shared" si="160"/>
        <v>0</v>
      </c>
      <c r="L638" s="59">
        <v>0</v>
      </c>
      <c r="M638" s="59">
        <v>0</v>
      </c>
      <c r="N638" s="59">
        <f t="shared" si="161"/>
        <v>0</v>
      </c>
      <c r="O638" s="15">
        <f t="shared" si="162"/>
        <v>0</v>
      </c>
      <c r="P638" s="87">
        <f t="shared" si="163"/>
        <v>0</v>
      </c>
      <c r="Q638" s="110">
        <v>0</v>
      </c>
      <c r="R638" s="59">
        <v>0</v>
      </c>
      <c r="S638" s="14">
        <v>0</v>
      </c>
      <c r="T638" s="59">
        <v>0</v>
      </c>
      <c r="U638" s="15">
        <f t="shared" si="156"/>
        <v>0</v>
      </c>
      <c r="V638" s="14">
        <v>0</v>
      </c>
      <c r="W638" s="15">
        <f t="shared" si="164"/>
        <v>0</v>
      </c>
      <c r="X638" s="14">
        <v>0</v>
      </c>
      <c r="Y638" s="75">
        <v>0</v>
      </c>
      <c r="Z638" s="87">
        <f t="shared" si="165"/>
        <v>0</v>
      </c>
      <c r="AA638" s="14">
        <f t="shared" si="166"/>
        <v>0</v>
      </c>
      <c r="AB638" s="75">
        <v>0</v>
      </c>
      <c r="AC638" s="75">
        <v>0</v>
      </c>
      <c r="AD638" s="59">
        <f t="shared" si="167"/>
        <v>0</v>
      </c>
      <c r="AE638" s="73">
        <v>0</v>
      </c>
      <c r="AF638" s="73">
        <v>0</v>
      </c>
      <c r="AG638" s="15">
        <f t="shared" si="168"/>
        <v>0</v>
      </c>
      <c r="AH638" s="16">
        <f t="shared" si="169"/>
        <v>0</v>
      </c>
      <c r="AI638" s="17">
        <f t="shared" si="170"/>
        <v>0</v>
      </c>
      <c r="AJ638" s="12">
        <f>VLOOKUP(A638,'PreK Proxy - Sept. 2024'!$A$2:$I$674,9,FALSE)</f>
        <v>110</v>
      </c>
      <c r="AK638" s="18">
        <f t="shared" si="171"/>
        <v>0</v>
      </c>
    </row>
    <row r="639" spans="1:37" x14ac:dyDescent="0.35">
      <c r="A639" s="11" t="s">
        <v>1282</v>
      </c>
      <c r="B639" s="12" t="s">
        <v>1283</v>
      </c>
      <c r="C639" s="54" t="s">
        <v>1419</v>
      </c>
      <c r="D639" s="54" t="s">
        <v>251</v>
      </c>
      <c r="E639" s="66">
        <f t="shared" si="157"/>
        <v>0</v>
      </c>
      <c r="F639" s="13">
        <f t="shared" si="158"/>
        <v>0</v>
      </c>
      <c r="G639" s="67">
        <f t="shared" si="159"/>
        <v>0</v>
      </c>
      <c r="H639" s="64">
        <f t="shared" si="155"/>
        <v>0</v>
      </c>
      <c r="I639" s="80">
        <v>0</v>
      </c>
      <c r="J639" s="80">
        <v>0</v>
      </c>
      <c r="K639" s="59">
        <f t="shared" si="160"/>
        <v>0</v>
      </c>
      <c r="L639" s="59">
        <v>0</v>
      </c>
      <c r="M639" s="59">
        <v>0</v>
      </c>
      <c r="N639" s="59">
        <f t="shared" si="161"/>
        <v>0</v>
      </c>
      <c r="O639" s="15">
        <f t="shared" si="162"/>
        <v>0</v>
      </c>
      <c r="P639" s="87">
        <f t="shared" si="163"/>
        <v>0</v>
      </c>
      <c r="Q639" s="110">
        <v>0</v>
      </c>
      <c r="R639" s="59">
        <v>0</v>
      </c>
      <c r="S639" s="14">
        <v>0</v>
      </c>
      <c r="T639" s="59">
        <v>0</v>
      </c>
      <c r="U639" s="15">
        <f t="shared" si="156"/>
        <v>0</v>
      </c>
      <c r="V639" s="14">
        <v>0</v>
      </c>
      <c r="W639" s="15">
        <f t="shared" si="164"/>
        <v>0</v>
      </c>
      <c r="X639" s="14">
        <v>0</v>
      </c>
      <c r="Y639" s="75">
        <v>0</v>
      </c>
      <c r="Z639" s="87">
        <f t="shared" si="165"/>
        <v>0</v>
      </c>
      <c r="AA639" s="14">
        <f t="shared" si="166"/>
        <v>0</v>
      </c>
      <c r="AB639" s="75">
        <v>0</v>
      </c>
      <c r="AC639" s="75">
        <v>0</v>
      </c>
      <c r="AD639" s="59">
        <f t="shared" si="167"/>
        <v>0</v>
      </c>
      <c r="AE639" s="73">
        <v>0</v>
      </c>
      <c r="AF639" s="73">
        <v>0</v>
      </c>
      <c r="AG639" s="15">
        <f t="shared" si="168"/>
        <v>0</v>
      </c>
      <c r="AH639" s="16">
        <f t="shared" si="169"/>
        <v>0</v>
      </c>
      <c r="AI639" s="17">
        <f t="shared" si="170"/>
        <v>0</v>
      </c>
      <c r="AJ639" s="12">
        <f>VLOOKUP(A639,'PreK Proxy - Sept. 2024'!$A$2:$I$674,9,FALSE)</f>
        <v>82</v>
      </c>
      <c r="AK639" s="18">
        <f t="shared" si="171"/>
        <v>0</v>
      </c>
    </row>
    <row r="640" spans="1:37" x14ac:dyDescent="0.35">
      <c r="A640" s="11" t="s">
        <v>1284</v>
      </c>
      <c r="B640" s="12" t="s">
        <v>1285</v>
      </c>
      <c r="C640" s="54" t="s">
        <v>1419</v>
      </c>
      <c r="D640" s="54" t="s">
        <v>251</v>
      </c>
      <c r="E640" s="66">
        <f t="shared" si="157"/>
        <v>0</v>
      </c>
      <c r="F640" s="13">
        <f t="shared" si="158"/>
        <v>0</v>
      </c>
      <c r="G640" s="67">
        <f t="shared" si="159"/>
        <v>0</v>
      </c>
      <c r="H640" s="64">
        <f t="shared" si="155"/>
        <v>0</v>
      </c>
      <c r="I640" s="80">
        <v>0</v>
      </c>
      <c r="J640" s="80">
        <v>0</v>
      </c>
      <c r="K640" s="59">
        <f t="shared" si="160"/>
        <v>0</v>
      </c>
      <c r="L640" s="59">
        <v>0</v>
      </c>
      <c r="M640" s="59">
        <v>0</v>
      </c>
      <c r="N640" s="59">
        <f t="shared" si="161"/>
        <v>0</v>
      </c>
      <c r="O640" s="15">
        <f t="shared" si="162"/>
        <v>0</v>
      </c>
      <c r="P640" s="87">
        <f t="shared" si="163"/>
        <v>0</v>
      </c>
      <c r="Q640" s="110">
        <v>0</v>
      </c>
      <c r="R640" s="59">
        <v>0</v>
      </c>
      <c r="S640" s="14">
        <v>0</v>
      </c>
      <c r="T640" s="59">
        <v>0</v>
      </c>
      <c r="U640" s="15">
        <f t="shared" si="156"/>
        <v>0</v>
      </c>
      <c r="V640" s="14">
        <v>0</v>
      </c>
      <c r="W640" s="15">
        <f t="shared" si="164"/>
        <v>0</v>
      </c>
      <c r="X640" s="14">
        <v>0</v>
      </c>
      <c r="Y640" s="75">
        <v>0</v>
      </c>
      <c r="Z640" s="87">
        <f t="shared" si="165"/>
        <v>0</v>
      </c>
      <c r="AA640" s="14">
        <f t="shared" si="166"/>
        <v>0</v>
      </c>
      <c r="AB640" s="75">
        <v>0</v>
      </c>
      <c r="AC640" s="75">
        <v>0</v>
      </c>
      <c r="AD640" s="59">
        <f t="shared" si="167"/>
        <v>0</v>
      </c>
      <c r="AE640" s="73">
        <v>0</v>
      </c>
      <c r="AF640" s="73">
        <v>0</v>
      </c>
      <c r="AG640" s="15">
        <f t="shared" si="168"/>
        <v>0</v>
      </c>
      <c r="AH640" s="16">
        <f t="shared" si="169"/>
        <v>0</v>
      </c>
      <c r="AI640" s="17">
        <f t="shared" si="170"/>
        <v>0</v>
      </c>
      <c r="AJ640" s="12">
        <f>VLOOKUP(A640,'PreK Proxy - Sept. 2024'!$A$2:$I$674,9,FALSE)</f>
        <v>94</v>
      </c>
      <c r="AK640" s="18">
        <f t="shared" si="171"/>
        <v>0</v>
      </c>
    </row>
    <row r="641" spans="1:37" x14ac:dyDescent="0.35">
      <c r="A641" s="11" t="s">
        <v>1286</v>
      </c>
      <c r="B641" s="12" t="s">
        <v>1287</v>
      </c>
      <c r="C641" s="54" t="s">
        <v>1419</v>
      </c>
      <c r="D641" s="54" t="s">
        <v>251</v>
      </c>
      <c r="E641" s="66">
        <f t="shared" si="157"/>
        <v>0</v>
      </c>
      <c r="F641" s="13">
        <f t="shared" si="158"/>
        <v>0</v>
      </c>
      <c r="G641" s="67">
        <f t="shared" si="159"/>
        <v>0</v>
      </c>
      <c r="H641" s="64">
        <f t="shared" si="155"/>
        <v>0</v>
      </c>
      <c r="I641" s="80">
        <v>0</v>
      </c>
      <c r="J641" s="80">
        <v>0</v>
      </c>
      <c r="K641" s="59">
        <f t="shared" si="160"/>
        <v>0</v>
      </c>
      <c r="L641" s="59">
        <v>0</v>
      </c>
      <c r="M641" s="59">
        <v>0</v>
      </c>
      <c r="N641" s="59">
        <f t="shared" si="161"/>
        <v>0</v>
      </c>
      <c r="O641" s="15">
        <f t="shared" si="162"/>
        <v>0</v>
      </c>
      <c r="P641" s="87">
        <f t="shared" si="163"/>
        <v>0</v>
      </c>
      <c r="Q641" s="110">
        <v>0</v>
      </c>
      <c r="R641" s="59">
        <v>0</v>
      </c>
      <c r="S641" s="14">
        <v>0</v>
      </c>
      <c r="T641" s="59">
        <v>0</v>
      </c>
      <c r="U641" s="15">
        <f t="shared" si="156"/>
        <v>0</v>
      </c>
      <c r="V641" s="14">
        <v>0</v>
      </c>
      <c r="W641" s="15">
        <f t="shared" si="164"/>
        <v>0</v>
      </c>
      <c r="X641" s="14">
        <v>0</v>
      </c>
      <c r="Y641" s="75">
        <v>0</v>
      </c>
      <c r="Z641" s="87">
        <f t="shared" si="165"/>
        <v>0</v>
      </c>
      <c r="AA641" s="14">
        <f t="shared" si="166"/>
        <v>0</v>
      </c>
      <c r="AB641" s="75">
        <v>0</v>
      </c>
      <c r="AC641" s="75">
        <v>0</v>
      </c>
      <c r="AD641" s="59">
        <f t="shared" si="167"/>
        <v>0</v>
      </c>
      <c r="AE641" s="73">
        <v>0</v>
      </c>
      <c r="AF641" s="73">
        <v>0</v>
      </c>
      <c r="AG641" s="15">
        <f t="shared" si="168"/>
        <v>0</v>
      </c>
      <c r="AH641" s="16">
        <f t="shared" si="169"/>
        <v>0</v>
      </c>
      <c r="AI641" s="17">
        <f t="shared" si="170"/>
        <v>0</v>
      </c>
      <c r="AJ641" s="12">
        <f>VLOOKUP(A641,'PreK Proxy - Sept. 2024'!$A$2:$I$674,9,FALSE)</f>
        <v>107</v>
      </c>
      <c r="AK641" s="18">
        <f t="shared" si="171"/>
        <v>0</v>
      </c>
    </row>
    <row r="642" spans="1:37" x14ac:dyDescent="0.35">
      <c r="A642" s="11" t="s">
        <v>1288</v>
      </c>
      <c r="B642" s="12" t="s">
        <v>1289</v>
      </c>
      <c r="C642" s="54" t="s">
        <v>1419</v>
      </c>
      <c r="D642" s="54" t="s">
        <v>251</v>
      </c>
      <c r="E642" s="66">
        <f t="shared" si="157"/>
        <v>0</v>
      </c>
      <c r="F642" s="13">
        <f t="shared" si="158"/>
        <v>0</v>
      </c>
      <c r="G642" s="67">
        <f t="shared" si="159"/>
        <v>0</v>
      </c>
      <c r="H642" s="64">
        <f t="shared" si="155"/>
        <v>0</v>
      </c>
      <c r="I642" s="80">
        <v>0</v>
      </c>
      <c r="J642" s="80">
        <v>0</v>
      </c>
      <c r="K642" s="59">
        <f t="shared" si="160"/>
        <v>0</v>
      </c>
      <c r="L642" s="59">
        <v>0</v>
      </c>
      <c r="M642" s="59">
        <v>0</v>
      </c>
      <c r="N642" s="59">
        <f t="shared" si="161"/>
        <v>0</v>
      </c>
      <c r="O642" s="15">
        <f t="shared" si="162"/>
        <v>0</v>
      </c>
      <c r="P642" s="87">
        <f t="shared" si="163"/>
        <v>0</v>
      </c>
      <c r="Q642" s="110">
        <v>0</v>
      </c>
      <c r="R642" s="59">
        <v>0</v>
      </c>
      <c r="S642" s="14">
        <v>0</v>
      </c>
      <c r="T642" s="59">
        <v>0</v>
      </c>
      <c r="U642" s="15">
        <f t="shared" si="156"/>
        <v>0</v>
      </c>
      <c r="V642" s="14">
        <v>0</v>
      </c>
      <c r="W642" s="15">
        <f t="shared" si="164"/>
        <v>0</v>
      </c>
      <c r="X642" s="14">
        <v>0</v>
      </c>
      <c r="Y642" s="75">
        <v>0</v>
      </c>
      <c r="Z642" s="87">
        <f t="shared" si="165"/>
        <v>0</v>
      </c>
      <c r="AA642" s="14">
        <f t="shared" si="166"/>
        <v>0</v>
      </c>
      <c r="AB642" s="75">
        <v>0</v>
      </c>
      <c r="AC642" s="75">
        <v>0</v>
      </c>
      <c r="AD642" s="59">
        <f t="shared" si="167"/>
        <v>0</v>
      </c>
      <c r="AE642" s="73">
        <v>0</v>
      </c>
      <c r="AF642" s="73">
        <v>0</v>
      </c>
      <c r="AG642" s="15">
        <f t="shared" si="168"/>
        <v>0</v>
      </c>
      <c r="AH642" s="16">
        <f t="shared" si="169"/>
        <v>0</v>
      </c>
      <c r="AI642" s="17">
        <f t="shared" si="170"/>
        <v>0</v>
      </c>
      <c r="AJ642" s="12">
        <f>VLOOKUP(A642,'PreK Proxy - Sept. 2024'!$A$2:$I$674,9,FALSE)</f>
        <v>88</v>
      </c>
      <c r="AK642" s="18">
        <f t="shared" si="171"/>
        <v>0</v>
      </c>
    </row>
    <row r="643" spans="1:37" x14ac:dyDescent="0.35">
      <c r="A643" s="11" t="s">
        <v>1290</v>
      </c>
      <c r="B643" s="12" t="s">
        <v>1291</v>
      </c>
      <c r="C643" s="54" t="s">
        <v>1419</v>
      </c>
      <c r="D643" s="54" t="s">
        <v>251</v>
      </c>
      <c r="E643" s="66">
        <f t="shared" si="157"/>
        <v>63</v>
      </c>
      <c r="F643" s="13">
        <f t="shared" si="158"/>
        <v>63</v>
      </c>
      <c r="G643" s="67">
        <f t="shared" si="159"/>
        <v>0</v>
      </c>
      <c r="H643" s="64">
        <f t="shared" ref="H643:H676" si="172">K643+N643</f>
        <v>63</v>
      </c>
      <c r="I643" s="80">
        <v>0</v>
      </c>
      <c r="J643" s="80">
        <v>0</v>
      </c>
      <c r="K643" s="59">
        <f t="shared" si="160"/>
        <v>0</v>
      </c>
      <c r="L643" s="59">
        <v>0</v>
      </c>
      <c r="M643" s="59">
        <v>63</v>
      </c>
      <c r="N643" s="59">
        <f t="shared" si="161"/>
        <v>63</v>
      </c>
      <c r="O643" s="15">
        <f t="shared" si="162"/>
        <v>0</v>
      </c>
      <c r="P643" s="87">
        <f t="shared" si="163"/>
        <v>0</v>
      </c>
      <c r="Q643" s="110">
        <v>0</v>
      </c>
      <c r="R643" s="59">
        <v>0</v>
      </c>
      <c r="S643" s="14">
        <v>0</v>
      </c>
      <c r="T643" s="59">
        <v>0</v>
      </c>
      <c r="U643" s="15">
        <f t="shared" si="156"/>
        <v>0</v>
      </c>
      <c r="V643" s="14">
        <v>0</v>
      </c>
      <c r="W643" s="15">
        <f t="shared" si="164"/>
        <v>0</v>
      </c>
      <c r="X643" s="14">
        <v>0</v>
      </c>
      <c r="Y643" s="75">
        <v>0</v>
      </c>
      <c r="Z643" s="87">
        <f t="shared" si="165"/>
        <v>0</v>
      </c>
      <c r="AA643" s="14">
        <f t="shared" si="166"/>
        <v>0</v>
      </c>
      <c r="AB643" s="75">
        <v>0</v>
      </c>
      <c r="AC643" s="75">
        <v>0</v>
      </c>
      <c r="AD643" s="59">
        <f t="shared" si="167"/>
        <v>0</v>
      </c>
      <c r="AE643" s="73">
        <v>0</v>
      </c>
      <c r="AF643" s="73">
        <v>0</v>
      </c>
      <c r="AG643" s="15">
        <f t="shared" si="168"/>
        <v>0</v>
      </c>
      <c r="AH643" s="16">
        <f t="shared" si="169"/>
        <v>0</v>
      </c>
      <c r="AI643" s="17">
        <f t="shared" si="170"/>
        <v>63</v>
      </c>
      <c r="AJ643" s="12">
        <f>VLOOKUP(A643,'PreK Proxy - Sept. 2024'!$A$2:$I$674,9,FALSE)</f>
        <v>107</v>
      </c>
      <c r="AK643" s="18">
        <f t="shared" si="171"/>
        <v>0.58878504672897192</v>
      </c>
    </row>
    <row r="644" spans="1:37" x14ac:dyDescent="0.35">
      <c r="A644" s="11" t="s">
        <v>1292</v>
      </c>
      <c r="B644" s="12" t="s">
        <v>1293</v>
      </c>
      <c r="C644" s="54" t="s">
        <v>1419</v>
      </c>
      <c r="D644" s="54" t="s">
        <v>251</v>
      </c>
      <c r="E644" s="66">
        <f t="shared" si="157"/>
        <v>33</v>
      </c>
      <c r="F644" s="13">
        <f t="shared" si="158"/>
        <v>33</v>
      </c>
      <c r="G644" s="67">
        <f t="shared" si="159"/>
        <v>0</v>
      </c>
      <c r="H644" s="64">
        <f t="shared" si="172"/>
        <v>33</v>
      </c>
      <c r="I644" s="80">
        <v>0</v>
      </c>
      <c r="J644" s="80">
        <v>0</v>
      </c>
      <c r="K644" s="59">
        <f t="shared" si="160"/>
        <v>0</v>
      </c>
      <c r="L644" s="59">
        <v>0</v>
      </c>
      <c r="M644" s="59">
        <v>33</v>
      </c>
      <c r="N644" s="59">
        <f t="shared" si="161"/>
        <v>33</v>
      </c>
      <c r="O644" s="15">
        <f t="shared" si="162"/>
        <v>0</v>
      </c>
      <c r="P644" s="87">
        <f t="shared" si="163"/>
        <v>0</v>
      </c>
      <c r="Q644" s="110">
        <v>0</v>
      </c>
      <c r="R644" s="59">
        <v>0</v>
      </c>
      <c r="S644" s="14">
        <v>0</v>
      </c>
      <c r="T644" s="59">
        <v>0</v>
      </c>
      <c r="U644" s="15">
        <f t="shared" ref="U644:U676" si="173">S644+T644</f>
        <v>0</v>
      </c>
      <c r="V644" s="14">
        <v>0</v>
      </c>
      <c r="W644" s="15">
        <f t="shared" si="164"/>
        <v>0</v>
      </c>
      <c r="X644" s="14">
        <v>0</v>
      </c>
      <c r="Y644" s="75">
        <v>0</v>
      </c>
      <c r="Z644" s="87">
        <f t="shared" si="165"/>
        <v>0</v>
      </c>
      <c r="AA644" s="14">
        <f t="shared" si="166"/>
        <v>0</v>
      </c>
      <c r="AB644" s="75">
        <v>0</v>
      </c>
      <c r="AC644" s="75">
        <v>0</v>
      </c>
      <c r="AD644" s="59">
        <f t="shared" si="167"/>
        <v>0</v>
      </c>
      <c r="AE644" s="73">
        <v>0</v>
      </c>
      <c r="AF644" s="73">
        <v>0</v>
      </c>
      <c r="AG644" s="15">
        <f t="shared" si="168"/>
        <v>0</v>
      </c>
      <c r="AH644" s="16">
        <f t="shared" si="169"/>
        <v>0</v>
      </c>
      <c r="AI644" s="17">
        <f t="shared" si="170"/>
        <v>33</v>
      </c>
      <c r="AJ644" s="12">
        <f>VLOOKUP(A644,'PreK Proxy - Sept. 2024'!$A$2:$I$674,9,FALSE)</f>
        <v>58</v>
      </c>
      <c r="AK644" s="18">
        <f t="shared" si="171"/>
        <v>0.56896551724137934</v>
      </c>
    </row>
    <row r="645" spans="1:37" x14ac:dyDescent="0.35">
      <c r="A645" s="11" t="s">
        <v>1294</v>
      </c>
      <c r="B645" s="12" t="s">
        <v>1295</v>
      </c>
      <c r="C645" s="54" t="s">
        <v>1419</v>
      </c>
      <c r="D645" s="54" t="s">
        <v>251</v>
      </c>
      <c r="E645" s="66">
        <f t="shared" ref="E645:E676" si="174">F645+G645</f>
        <v>0</v>
      </c>
      <c r="F645" s="13">
        <f t="shared" ref="F645:F675" si="175">N645+R645+S645+V645+X645+AG645</f>
        <v>0</v>
      </c>
      <c r="G645" s="67">
        <f t="shared" ref="G645:G675" si="176">K645+Q645+AD645</f>
        <v>0</v>
      </c>
      <c r="H645" s="64">
        <f t="shared" si="172"/>
        <v>0</v>
      </c>
      <c r="I645" s="80">
        <v>0</v>
      </c>
      <c r="J645" s="80">
        <v>0</v>
      </c>
      <c r="K645" s="59">
        <f t="shared" ref="K645:K676" si="177">I645+J645</f>
        <v>0</v>
      </c>
      <c r="L645" s="59">
        <v>0</v>
      </c>
      <c r="M645" s="59">
        <v>0</v>
      </c>
      <c r="N645" s="59">
        <f t="shared" ref="N645:N676" si="178">L645+M645</f>
        <v>0</v>
      </c>
      <c r="O645" s="15">
        <f t="shared" ref="O645:O676" si="179">T645+Y645</f>
        <v>0</v>
      </c>
      <c r="P645" s="87">
        <f t="shared" ref="P645:P676" si="180">Q645+R645</f>
        <v>0</v>
      </c>
      <c r="Q645" s="110">
        <v>0</v>
      </c>
      <c r="R645" s="59">
        <v>0</v>
      </c>
      <c r="S645" s="14">
        <v>0</v>
      </c>
      <c r="T645" s="59">
        <v>0</v>
      </c>
      <c r="U645" s="15">
        <f t="shared" si="173"/>
        <v>0</v>
      </c>
      <c r="V645" s="14">
        <v>0</v>
      </c>
      <c r="W645" s="15">
        <f t="shared" ref="W645:W676" si="181">V645</f>
        <v>0</v>
      </c>
      <c r="X645" s="14">
        <v>0</v>
      </c>
      <c r="Y645" s="75">
        <v>0</v>
      </c>
      <c r="Z645" s="87">
        <f t="shared" ref="Z645:Z676" si="182">X645+Y645</f>
        <v>0</v>
      </c>
      <c r="AA645" s="14">
        <f t="shared" ref="AA645:AA676" si="183">AD645+AG645</f>
        <v>0</v>
      </c>
      <c r="AB645" s="75">
        <v>0</v>
      </c>
      <c r="AC645" s="75">
        <v>0</v>
      </c>
      <c r="AD645" s="59">
        <f t="shared" ref="AD645:AD676" si="184">AB645+AC645</f>
        <v>0</v>
      </c>
      <c r="AE645" s="73">
        <v>0</v>
      </c>
      <c r="AF645" s="73">
        <v>0</v>
      </c>
      <c r="AG645" s="15">
        <f t="shared" ref="AG645:AG676" si="185">AE645+AF645</f>
        <v>0</v>
      </c>
      <c r="AH645" s="16">
        <f t="shared" ref="AH645:AH675" si="186">J645+Q645+AC645</f>
        <v>0</v>
      </c>
      <c r="AI645" s="17">
        <f t="shared" ref="AI645:AI675" si="187">M645+R645+S645+V645+X645+AF645</f>
        <v>0</v>
      </c>
      <c r="AJ645" s="12">
        <f>VLOOKUP(A645,'PreK Proxy - Sept. 2024'!$A$2:$I$674,9,FALSE)</f>
        <v>199</v>
      </c>
      <c r="AK645" s="18">
        <f t="shared" ref="AK645:AK676" si="188">IFERROR(MIN(100%,((AI645+AH645)/AJ645)),0)</f>
        <v>0</v>
      </c>
    </row>
    <row r="646" spans="1:37" x14ac:dyDescent="0.35">
      <c r="A646" s="11" t="s">
        <v>1296</v>
      </c>
      <c r="B646" s="12" t="s">
        <v>1297</v>
      </c>
      <c r="C646" s="54" t="s">
        <v>1419</v>
      </c>
      <c r="D646" s="54" t="s">
        <v>251</v>
      </c>
      <c r="E646" s="66">
        <f t="shared" si="174"/>
        <v>88</v>
      </c>
      <c r="F646" s="13">
        <f t="shared" si="175"/>
        <v>52</v>
      </c>
      <c r="G646" s="67">
        <f t="shared" si="176"/>
        <v>36</v>
      </c>
      <c r="H646" s="64">
        <f t="shared" si="172"/>
        <v>88</v>
      </c>
      <c r="I646" s="80">
        <v>0</v>
      </c>
      <c r="J646" s="80">
        <v>36</v>
      </c>
      <c r="K646" s="59">
        <f t="shared" si="177"/>
        <v>36</v>
      </c>
      <c r="L646" s="59">
        <v>0</v>
      </c>
      <c r="M646" s="59">
        <v>52</v>
      </c>
      <c r="N646" s="59">
        <f t="shared" si="178"/>
        <v>52</v>
      </c>
      <c r="O646" s="15">
        <f t="shared" si="179"/>
        <v>0</v>
      </c>
      <c r="P646" s="87">
        <f t="shared" si="180"/>
        <v>0</v>
      </c>
      <c r="Q646" s="110">
        <v>0</v>
      </c>
      <c r="R646" s="59">
        <v>0</v>
      </c>
      <c r="S646" s="14">
        <v>0</v>
      </c>
      <c r="T646" s="59">
        <v>0</v>
      </c>
      <c r="U646" s="15">
        <f t="shared" si="173"/>
        <v>0</v>
      </c>
      <c r="V646" s="14">
        <v>0</v>
      </c>
      <c r="W646" s="15">
        <f t="shared" si="181"/>
        <v>0</v>
      </c>
      <c r="X646" s="14">
        <v>0</v>
      </c>
      <c r="Y646" s="75">
        <v>0</v>
      </c>
      <c r="Z646" s="87">
        <f t="shared" si="182"/>
        <v>0</v>
      </c>
      <c r="AA646" s="14">
        <f t="shared" si="183"/>
        <v>0</v>
      </c>
      <c r="AB646" s="75">
        <v>0</v>
      </c>
      <c r="AC646" s="75">
        <v>0</v>
      </c>
      <c r="AD646" s="59">
        <f t="shared" si="184"/>
        <v>0</v>
      </c>
      <c r="AE646" s="73">
        <v>0</v>
      </c>
      <c r="AF646" s="73">
        <v>0</v>
      </c>
      <c r="AG646" s="15">
        <f t="shared" si="185"/>
        <v>0</v>
      </c>
      <c r="AH646" s="16">
        <f t="shared" si="186"/>
        <v>36</v>
      </c>
      <c r="AI646" s="17">
        <f t="shared" si="187"/>
        <v>52</v>
      </c>
      <c r="AJ646" s="12">
        <f>VLOOKUP(A646,'PreK Proxy - Sept. 2024'!$A$2:$I$674,9,FALSE)</f>
        <v>434</v>
      </c>
      <c r="AK646" s="18">
        <f t="shared" si="188"/>
        <v>0.20276497695852536</v>
      </c>
    </row>
    <row r="647" spans="1:37" x14ac:dyDescent="0.35">
      <c r="A647" s="11" t="s">
        <v>1298</v>
      </c>
      <c r="B647" s="12" t="s">
        <v>1299</v>
      </c>
      <c r="C647" s="54" t="s">
        <v>1419</v>
      </c>
      <c r="D647" s="54" t="s">
        <v>251</v>
      </c>
      <c r="E647" s="66">
        <f t="shared" si="174"/>
        <v>0</v>
      </c>
      <c r="F647" s="13">
        <f t="shared" si="175"/>
        <v>0</v>
      </c>
      <c r="G647" s="67">
        <f t="shared" si="176"/>
        <v>0</v>
      </c>
      <c r="H647" s="64">
        <f t="shared" si="172"/>
        <v>0</v>
      </c>
      <c r="I647" s="80">
        <v>0</v>
      </c>
      <c r="J647" s="80">
        <v>0</v>
      </c>
      <c r="K647" s="59">
        <f t="shared" si="177"/>
        <v>0</v>
      </c>
      <c r="L647" s="59">
        <v>0</v>
      </c>
      <c r="M647" s="59">
        <v>0</v>
      </c>
      <c r="N647" s="59">
        <f t="shared" si="178"/>
        <v>0</v>
      </c>
      <c r="O647" s="15">
        <f t="shared" si="179"/>
        <v>0</v>
      </c>
      <c r="P647" s="87">
        <f t="shared" si="180"/>
        <v>0</v>
      </c>
      <c r="Q647" s="110">
        <v>0</v>
      </c>
      <c r="R647" s="59">
        <v>0</v>
      </c>
      <c r="S647" s="14">
        <v>0</v>
      </c>
      <c r="T647" s="59">
        <v>0</v>
      </c>
      <c r="U647" s="15">
        <f t="shared" si="173"/>
        <v>0</v>
      </c>
      <c r="V647" s="14">
        <v>0</v>
      </c>
      <c r="W647" s="15">
        <f t="shared" si="181"/>
        <v>0</v>
      </c>
      <c r="X647" s="14">
        <v>0</v>
      </c>
      <c r="Y647" s="75">
        <v>0</v>
      </c>
      <c r="Z647" s="87">
        <f t="shared" si="182"/>
        <v>0</v>
      </c>
      <c r="AA647" s="14">
        <f t="shared" si="183"/>
        <v>0</v>
      </c>
      <c r="AB647" s="75">
        <v>0</v>
      </c>
      <c r="AC647" s="75">
        <v>0</v>
      </c>
      <c r="AD647" s="59">
        <f t="shared" si="184"/>
        <v>0</v>
      </c>
      <c r="AE647" s="73">
        <v>0</v>
      </c>
      <c r="AF647" s="73">
        <v>0</v>
      </c>
      <c r="AG647" s="15">
        <f t="shared" si="185"/>
        <v>0</v>
      </c>
      <c r="AH647" s="16">
        <f t="shared" si="186"/>
        <v>0</v>
      </c>
      <c r="AI647" s="17">
        <f t="shared" si="187"/>
        <v>0</v>
      </c>
      <c r="AJ647" s="12">
        <f>VLOOKUP(A647,'PreK Proxy - Sept. 2024'!$A$2:$I$674,9,FALSE)</f>
        <v>125</v>
      </c>
      <c r="AK647" s="18">
        <f t="shared" si="188"/>
        <v>0</v>
      </c>
    </row>
    <row r="648" spans="1:37" x14ac:dyDescent="0.35">
      <c r="A648" s="11" t="s">
        <v>1300</v>
      </c>
      <c r="B648" s="12" t="s">
        <v>1301</v>
      </c>
      <c r="C648" s="54" t="s">
        <v>1419</v>
      </c>
      <c r="D648" s="54" t="s">
        <v>251</v>
      </c>
      <c r="E648" s="66">
        <f t="shared" si="174"/>
        <v>21</v>
      </c>
      <c r="F648" s="13">
        <f t="shared" si="175"/>
        <v>21</v>
      </c>
      <c r="G648" s="67">
        <f t="shared" si="176"/>
        <v>0</v>
      </c>
      <c r="H648" s="64">
        <f t="shared" si="172"/>
        <v>21</v>
      </c>
      <c r="I648" s="80">
        <v>0</v>
      </c>
      <c r="J648" s="80">
        <v>0</v>
      </c>
      <c r="K648" s="59">
        <f t="shared" si="177"/>
        <v>0</v>
      </c>
      <c r="L648" s="59">
        <v>1</v>
      </c>
      <c r="M648" s="59">
        <v>20</v>
      </c>
      <c r="N648" s="59">
        <f t="shared" si="178"/>
        <v>21</v>
      </c>
      <c r="O648" s="15">
        <f t="shared" si="179"/>
        <v>0</v>
      </c>
      <c r="P648" s="87">
        <f t="shared" si="180"/>
        <v>0</v>
      </c>
      <c r="Q648" s="110">
        <v>0</v>
      </c>
      <c r="R648" s="59">
        <v>0</v>
      </c>
      <c r="S648" s="14">
        <v>0</v>
      </c>
      <c r="T648" s="59">
        <v>0</v>
      </c>
      <c r="U648" s="15">
        <f t="shared" si="173"/>
        <v>0</v>
      </c>
      <c r="V648" s="14">
        <v>0</v>
      </c>
      <c r="W648" s="15">
        <f t="shared" si="181"/>
        <v>0</v>
      </c>
      <c r="X648" s="14">
        <v>0</v>
      </c>
      <c r="Y648" s="75">
        <v>0</v>
      </c>
      <c r="Z648" s="87">
        <f t="shared" si="182"/>
        <v>0</v>
      </c>
      <c r="AA648" s="14">
        <f t="shared" si="183"/>
        <v>0</v>
      </c>
      <c r="AB648" s="75">
        <v>0</v>
      </c>
      <c r="AC648" s="75">
        <v>0</v>
      </c>
      <c r="AD648" s="59">
        <f t="shared" si="184"/>
        <v>0</v>
      </c>
      <c r="AE648" s="73">
        <v>0</v>
      </c>
      <c r="AF648" s="73">
        <v>0</v>
      </c>
      <c r="AG648" s="15">
        <f t="shared" si="185"/>
        <v>0</v>
      </c>
      <c r="AH648" s="16">
        <f t="shared" si="186"/>
        <v>0</v>
      </c>
      <c r="AI648" s="17">
        <f t="shared" si="187"/>
        <v>20</v>
      </c>
      <c r="AJ648" s="12">
        <f>VLOOKUP(A648,'PreK Proxy - Sept. 2024'!$A$2:$I$674,9,FALSE)</f>
        <v>21</v>
      </c>
      <c r="AK648" s="18">
        <f t="shared" si="188"/>
        <v>0.95238095238095233</v>
      </c>
    </row>
    <row r="649" spans="1:37" x14ac:dyDescent="0.35">
      <c r="A649" s="11" t="s">
        <v>1302</v>
      </c>
      <c r="B649" s="12" t="s">
        <v>1303</v>
      </c>
      <c r="C649" s="54" t="s">
        <v>1419</v>
      </c>
      <c r="D649" s="54" t="s">
        <v>251</v>
      </c>
      <c r="E649" s="66">
        <f t="shared" si="174"/>
        <v>32</v>
      </c>
      <c r="F649" s="13">
        <f t="shared" si="175"/>
        <v>32</v>
      </c>
      <c r="G649" s="67">
        <f t="shared" si="176"/>
        <v>0</v>
      </c>
      <c r="H649" s="64">
        <f t="shared" si="172"/>
        <v>0</v>
      </c>
      <c r="I649" s="80">
        <v>0</v>
      </c>
      <c r="J649" s="80">
        <v>0</v>
      </c>
      <c r="K649" s="59">
        <f t="shared" si="177"/>
        <v>0</v>
      </c>
      <c r="L649" s="59">
        <v>0</v>
      </c>
      <c r="M649" s="59">
        <v>0</v>
      </c>
      <c r="N649" s="59">
        <f t="shared" si="178"/>
        <v>0</v>
      </c>
      <c r="O649" s="15">
        <f t="shared" si="179"/>
        <v>0</v>
      </c>
      <c r="P649" s="87">
        <f t="shared" si="180"/>
        <v>32</v>
      </c>
      <c r="Q649" s="110">
        <v>0</v>
      </c>
      <c r="R649" s="59">
        <v>32</v>
      </c>
      <c r="S649" s="14">
        <v>0</v>
      </c>
      <c r="T649" s="59">
        <v>0</v>
      </c>
      <c r="U649" s="15">
        <f t="shared" si="173"/>
        <v>0</v>
      </c>
      <c r="V649" s="14">
        <v>0</v>
      </c>
      <c r="W649" s="15">
        <f t="shared" si="181"/>
        <v>0</v>
      </c>
      <c r="X649" s="14">
        <v>0</v>
      </c>
      <c r="Y649" s="75">
        <v>0</v>
      </c>
      <c r="Z649" s="87">
        <f t="shared" si="182"/>
        <v>0</v>
      </c>
      <c r="AA649" s="14">
        <f t="shared" si="183"/>
        <v>0</v>
      </c>
      <c r="AB649" s="75">
        <v>0</v>
      </c>
      <c r="AC649" s="75">
        <v>0</v>
      </c>
      <c r="AD649" s="59">
        <f t="shared" si="184"/>
        <v>0</v>
      </c>
      <c r="AE649" s="73">
        <v>0</v>
      </c>
      <c r="AF649" s="73">
        <v>0</v>
      </c>
      <c r="AG649" s="15">
        <f t="shared" si="185"/>
        <v>0</v>
      </c>
      <c r="AH649" s="16">
        <f t="shared" si="186"/>
        <v>0</v>
      </c>
      <c r="AI649" s="17">
        <f t="shared" si="187"/>
        <v>32</v>
      </c>
      <c r="AJ649" s="12">
        <f>VLOOKUP(A649,'PreK Proxy - Sept. 2024'!$A$2:$I$674,9,FALSE)</f>
        <v>78</v>
      </c>
      <c r="AK649" s="18">
        <f t="shared" si="188"/>
        <v>0.41025641025641024</v>
      </c>
    </row>
    <row r="650" spans="1:37" x14ac:dyDescent="0.35">
      <c r="A650" s="11" t="s">
        <v>1304</v>
      </c>
      <c r="B650" s="12" t="s">
        <v>1305</v>
      </c>
      <c r="C650" s="54" t="s">
        <v>1419</v>
      </c>
      <c r="D650" s="54" t="s">
        <v>251</v>
      </c>
      <c r="E650" s="66">
        <f t="shared" si="174"/>
        <v>16</v>
      </c>
      <c r="F650" s="13">
        <f t="shared" si="175"/>
        <v>16</v>
      </c>
      <c r="G650" s="67">
        <f t="shared" si="176"/>
        <v>0</v>
      </c>
      <c r="H650" s="64">
        <f t="shared" si="172"/>
        <v>0</v>
      </c>
      <c r="I650" s="80">
        <v>0</v>
      </c>
      <c r="J650" s="80">
        <v>0</v>
      </c>
      <c r="K650" s="59">
        <f t="shared" si="177"/>
        <v>0</v>
      </c>
      <c r="L650" s="59">
        <v>0</v>
      </c>
      <c r="M650" s="59">
        <v>0</v>
      </c>
      <c r="N650" s="59">
        <f t="shared" si="178"/>
        <v>0</v>
      </c>
      <c r="O650" s="15">
        <f t="shared" si="179"/>
        <v>0</v>
      </c>
      <c r="P650" s="87">
        <f t="shared" si="180"/>
        <v>16</v>
      </c>
      <c r="Q650" s="110">
        <v>0</v>
      </c>
      <c r="R650" s="59">
        <v>16</v>
      </c>
      <c r="S650" s="14">
        <v>0</v>
      </c>
      <c r="T650" s="59">
        <v>0</v>
      </c>
      <c r="U650" s="15">
        <f t="shared" si="173"/>
        <v>0</v>
      </c>
      <c r="V650" s="14">
        <v>0</v>
      </c>
      <c r="W650" s="15">
        <f t="shared" si="181"/>
        <v>0</v>
      </c>
      <c r="X650" s="14">
        <v>0</v>
      </c>
      <c r="Y650" s="75">
        <v>0</v>
      </c>
      <c r="Z650" s="87">
        <f t="shared" si="182"/>
        <v>0</v>
      </c>
      <c r="AA650" s="14">
        <f t="shared" si="183"/>
        <v>0</v>
      </c>
      <c r="AB650" s="75">
        <v>0</v>
      </c>
      <c r="AC650" s="75">
        <v>0</v>
      </c>
      <c r="AD650" s="59">
        <f t="shared" si="184"/>
        <v>0</v>
      </c>
      <c r="AE650" s="73">
        <v>0</v>
      </c>
      <c r="AF650" s="73">
        <v>0</v>
      </c>
      <c r="AG650" s="15">
        <f t="shared" si="185"/>
        <v>0</v>
      </c>
      <c r="AH650" s="16">
        <f t="shared" si="186"/>
        <v>0</v>
      </c>
      <c r="AI650" s="17">
        <f t="shared" si="187"/>
        <v>16</v>
      </c>
      <c r="AJ650" s="12">
        <f>VLOOKUP(A650,'PreK Proxy - Sept. 2024'!$A$2:$I$674,9,FALSE)</f>
        <v>87</v>
      </c>
      <c r="AK650" s="18">
        <f t="shared" si="188"/>
        <v>0.18390804597701149</v>
      </c>
    </row>
    <row r="651" spans="1:37" x14ac:dyDescent="0.35">
      <c r="A651" s="11" t="s">
        <v>1306</v>
      </c>
      <c r="B651" s="12" t="s">
        <v>1307</v>
      </c>
      <c r="C651" s="54" t="s">
        <v>1419</v>
      </c>
      <c r="D651" s="54" t="s">
        <v>251</v>
      </c>
      <c r="E651" s="66">
        <f t="shared" si="174"/>
        <v>434</v>
      </c>
      <c r="F651" s="13">
        <f t="shared" si="175"/>
        <v>434</v>
      </c>
      <c r="G651" s="67">
        <f t="shared" si="176"/>
        <v>0</v>
      </c>
      <c r="H651" s="64">
        <f t="shared" si="172"/>
        <v>434</v>
      </c>
      <c r="I651" s="80">
        <v>0</v>
      </c>
      <c r="J651" s="80">
        <v>0</v>
      </c>
      <c r="K651" s="59">
        <f t="shared" si="177"/>
        <v>0</v>
      </c>
      <c r="L651" s="59">
        <v>124</v>
      </c>
      <c r="M651" s="59">
        <v>310</v>
      </c>
      <c r="N651" s="59">
        <f t="shared" si="178"/>
        <v>434</v>
      </c>
      <c r="O651" s="15">
        <f t="shared" si="179"/>
        <v>0</v>
      </c>
      <c r="P651" s="87">
        <f t="shared" si="180"/>
        <v>0</v>
      </c>
      <c r="Q651" s="110">
        <v>0</v>
      </c>
      <c r="R651" s="59">
        <v>0</v>
      </c>
      <c r="S651" s="14">
        <v>0</v>
      </c>
      <c r="T651" s="59">
        <v>0</v>
      </c>
      <c r="U651" s="15">
        <f t="shared" si="173"/>
        <v>0</v>
      </c>
      <c r="V651" s="14">
        <v>0</v>
      </c>
      <c r="W651" s="15">
        <f t="shared" si="181"/>
        <v>0</v>
      </c>
      <c r="X651" s="14">
        <v>0</v>
      </c>
      <c r="Y651" s="75">
        <v>0</v>
      </c>
      <c r="Z651" s="87">
        <f t="shared" si="182"/>
        <v>0</v>
      </c>
      <c r="AA651" s="14">
        <f t="shared" si="183"/>
        <v>0</v>
      </c>
      <c r="AB651" s="75">
        <v>0</v>
      </c>
      <c r="AC651" s="75">
        <v>0</v>
      </c>
      <c r="AD651" s="59">
        <f t="shared" si="184"/>
        <v>0</v>
      </c>
      <c r="AE651" s="73">
        <v>0</v>
      </c>
      <c r="AF651" s="73">
        <v>0</v>
      </c>
      <c r="AG651" s="15">
        <f t="shared" si="185"/>
        <v>0</v>
      </c>
      <c r="AH651" s="16">
        <f t="shared" si="186"/>
        <v>0</v>
      </c>
      <c r="AI651" s="17">
        <f t="shared" si="187"/>
        <v>310</v>
      </c>
      <c r="AJ651" s="12">
        <f>VLOOKUP(A651,'PreK Proxy - Sept. 2024'!$A$2:$I$674,9,FALSE)</f>
        <v>515</v>
      </c>
      <c r="AK651" s="18">
        <f t="shared" si="188"/>
        <v>0.60194174757281549</v>
      </c>
    </row>
    <row r="652" spans="1:37" x14ac:dyDescent="0.35">
      <c r="A652" s="11" t="s">
        <v>1308</v>
      </c>
      <c r="B652" s="12" t="s">
        <v>1309</v>
      </c>
      <c r="C652" s="54" t="s">
        <v>1419</v>
      </c>
      <c r="D652" s="54" t="s">
        <v>251</v>
      </c>
      <c r="E652" s="66">
        <f t="shared" si="174"/>
        <v>0</v>
      </c>
      <c r="F652" s="13">
        <f t="shared" si="175"/>
        <v>0</v>
      </c>
      <c r="G652" s="67">
        <f t="shared" si="176"/>
        <v>0</v>
      </c>
      <c r="H652" s="64">
        <f t="shared" si="172"/>
        <v>0</v>
      </c>
      <c r="I652" s="80">
        <v>0</v>
      </c>
      <c r="J652" s="80">
        <v>0</v>
      </c>
      <c r="K652" s="59">
        <f t="shared" si="177"/>
        <v>0</v>
      </c>
      <c r="L652" s="59">
        <v>0</v>
      </c>
      <c r="M652" s="59">
        <v>0</v>
      </c>
      <c r="N652" s="59">
        <f t="shared" si="178"/>
        <v>0</v>
      </c>
      <c r="O652" s="15">
        <f t="shared" si="179"/>
        <v>0</v>
      </c>
      <c r="P652" s="87">
        <f t="shared" si="180"/>
        <v>0</v>
      </c>
      <c r="Q652" s="110">
        <v>0</v>
      </c>
      <c r="R652" s="59">
        <v>0</v>
      </c>
      <c r="S652" s="14">
        <v>0</v>
      </c>
      <c r="T652" s="59">
        <v>0</v>
      </c>
      <c r="U652" s="15">
        <f t="shared" si="173"/>
        <v>0</v>
      </c>
      <c r="V652" s="14">
        <v>0</v>
      </c>
      <c r="W652" s="15">
        <f t="shared" si="181"/>
        <v>0</v>
      </c>
      <c r="X652" s="14">
        <v>0</v>
      </c>
      <c r="Y652" s="75">
        <v>0</v>
      </c>
      <c r="Z652" s="87">
        <f t="shared" si="182"/>
        <v>0</v>
      </c>
      <c r="AA652" s="14">
        <f t="shared" si="183"/>
        <v>0</v>
      </c>
      <c r="AB652" s="75">
        <v>0</v>
      </c>
      <c r="AC652" s="75">
        <v>0</v>
      </c>
      <c r="AD652" s="59">
        <f t="shared" si="184"/>
        <v>0</v>
      </c>
      <c r="AE652" s="73">
        <v>0</v>
      </c>
      <c r="AF652" s="73">
        <v>0</v>
      </c>
      <c r="AG652" s="15">
        <f t="shared" si="185"/>
        <v>0</v>
      </c>
      <c r="AH652" s="16">
        <f t="shared" si="186"/>
        <v>0</v>
      </c>
      <c r="AI652" s="17">
        <f t="shared" si="187"/>
        <v>0</v>
      </c>
      <c r="AJ652" s="12">
        <f>VLOOKUP(A652,'PreK Proxy - Sept. 2024'!$A$2:$I$674,9,FALSE)</f>
        <v>191</v>
      </c>
      <c r="AK652" s="18">
        <f t="shared" si="188"/>
        <v>0</v>
      </c>
    </row>
    <row r="653" spans="1:37" x14ac:dyDescent="0.35">
      <c r="A653" s="11" t="s">
        <v>1310</v>
      </c>
      <c r="B653" s="12" t="s">
        <v>1311</v>
      </c>
      <c r="C653" s="54" t="s">
        <v>1419</v>
      </c>
      <c r="D653" s="54" t="s">
        <v>251</v>
      </c>
      <c r="E653" s="66">
        <f t="shared" si="174"/>
        <v>682</v>
      </c>
      <c r="F653" s="13">
        <f t="shared" si="175"/>
        <v>345</v>
      </c>
      <c r="G653" s="67">
        <f t="shared" si="176"/>
        <v>337</v>
      </c>
      <c r="H653" s="64">
        <f t="shared" si="172"/>
        <v>471</v>
      </c>
      <c r="I653" s="80">
        <v>0</v>
      </c>
      <c r="J653" s="80">
        <v>337</v>
      </c>
      <c r="K653" s="59">
        <f t="shared" si="177"/>
        <v>337</v>
      </c>
      <c r="L653" s="59">
        <v>0</v>
      </c>
      <c r="M653" s="59">
        <v>134</v>
      </c>
      <c r="N653" s="59">
        <f t="shared" si="178"/>
        <v>134</v>
      </c>
      <c r="O653" s="15">
        <f t="shared" si="179"/>
        <v>0</v>
      </c>
      <c r="P653" s="87">
        <f t="shared" si="180"/>
        <v>0</v>
      </c>
      <c r="Q653" s="110">
        <v>0</v>
      </c>
      <c r="R653" s="59">
        <v>0</v>
      </c>
      <c r="S653" s="14">
        <v>211</v>
      </c>
      <c r="T653" s="59">
        <v>0</v>
      </c>
      <c r="U653" s="15">
        <f t="shared" si="173"/>
        <v>211</v>
      </c>
      <c r="V653" s="14">
        <v>0</v>
      </c>
      <c r="W653" s="15">
        <f t="shared" si="181"/>
        <v>0</v>
      </c>
      <c r="X653" s="14">
        <v>0</v>
      </c>
      <c r="Y653" s="75">
        <v>0</v>
      </c>
      <c r="Z653" s="87">
        <f t="shared" si="182"/>
        <v>0</v>
      </c>
      <c r="AA653" s="14">
        <f t="shared" si="183"/>
        <v>0</v>
      </c>
      <c r="AB653" s="75">
        <v>0</v>
      </c>
      <c r="AC653" s="75">
        <v>0</v>
      </c>
      <c r="AD653" s="59">
        <f t="shared" si="184"/>
        <v>0</v>
      </c>
      <c r="AE653" s="73">
        <v>0</v>
      </c>
      <c r="AF653" s="73">
        <v>0</v>
      </c>
      <c r="AG653" s="15">
        <f t="shared" si="185"/>
        <v>0</v>
      </c>
      <c r="AH653" s="16">
        <f t="shared" si="186"/>
        <v>337</v>
      </c>
      <c r="AI653" s="17">
        <f t="shared" si="187"/>
        <v>345</v>
      </c>
      <c r="AJ653" s="12">
        <f>VLOOKUP(A653,'PreK Proxy - Sept. 2024'!$A$2:$I$674,9,FALSE)</f>
        <v>638</v>
      </c>
      <c r="AK653" s="18">
        <f t="shared" si="188"/>
        <v>1</v>
      </c>
    </row>
    <row r="654" spans="1:37" x14ac:dyDescent="0.35">
      <c r="A654" s="11" t="s">
        <v>1312</v>
      </c>
      <c r="B654" s="12" t="s">
        <v>1313</v>
      </c>
      <c r="C654" s="54" t="s">
        <v>1419</v>
      </c>
      <c r="D654" s="54" t="s">
        <v>251</v>
      </c>
      <c r="E654" s="66">
        <f t="shared" si="174"/>
        <v>0</v>
      </c>
      <c r="F654" s="13">
        <f t="shared" si="175"/>
        <v>0</v>
      </c>
      <c r="G654" s="67">
        <f t="shared" si="176"/>
        <v>0</v>
      </c>
      <c r="H654" s="64">
        <f t="shared" si="172"/>
        <v>0</v>
      </c>
      <c r="I654" s="80">
        <v>0</v>
      </c>
      <c r="J654" s="80">
        <v>0</v>
      </c>
      <c r="K654" s="59">
        <f t="shared" si="177"/>
        <v>0</v>
      </c>
      <c r="L654" s="59">
        <v>0</v>
      </c>
      <c r="M654" s="59">
        <v>0</v>
      </c>
      <c r="N654" s="59">
        <f t="shared" si="178"/>
        <v>0</v>
      </c>
      <c r="O654" s="15">
        <f t="shared" si="179"/>
        <v>0</v>
      </c>
      <c r="P654" s="87">
        <f t="shared" si="180"/>
        <v>0</v>
      </c>
      <c r="Q654" s="110">
        <v>0</v>
      </c>
      <c r="R654" s="59">
        <v>0</v>
      </c>
      <c r="S654" s="14">
        <v>0</v>
      </c>
      <c r="T654" s="59">
        <v>0</v>
      </c>
      <c r="U654" s="15">
        <f t="shared" si="173"/>
        <v>0</v>
      </c>
      <c r="V654" s="14">
        <v>0</v>
      </c>
      <c r="W654" s="15">
        <f t="shared" si="181"/>
        <v>0</v>
      </c>
      <c r="X654" s="14">
        <v>0</v>
      </c>
      <c r="Y654" s="75">
        <v>0</v>
      </c>
      <c r="Z654" s="87">
        <f t="shared" si="182"/>
        <v>0</v>
      </c>
      <c r="AA654" s="14">
        <f t="shared" si="183"/>
        <v>0</v>
      </c>
      <c r="AB654" s="75">
        <v>0</v>
      </c>
      <c r="AC654" s="75">
        <v>0</v>
      </c>
      <c r="AD654" s="59">
        <f t="shared" si="184"/>
        <v>0</v>
      </c>
      <c r="AE654" s="73">
        <v>0</v>
      </c>
      <c r="AF654" s="73">
        <v>0</v>
      </c>
      <c r="AG654" s="15">
        <f t="shared" si="185"/>
        <v>0</v>
      </c>
      <c r="AH654" s="16">
        <f t="shared" si="186"/>
        <v>0</v>
      </c>
      <c r="AI654" s="17">
        <f t="shared" si="187"/>
        <v>0</v>
      </c>
      <c r="AJ654" s="12">
        <f>VLOOKUP(A654,'PreK Proxy - Sept. 2024'!$A$2:$I$674,9,FALSE)</f>
        <v>168</v>
      </c>
      <c r="AK654" s="18">
        <f t="shared" si="188"/>
        <v>0</v>
      </c>
    </row>
    <row r="655" spans="1:37" x14ac:dyDescent="0.35">
      <c r="A655" s="11" t="s">
        <v>1314</v>
      </c>
      <c r="B655" s="12" t="s">
        <v>1315</v>
      </c>
      <c r="C655" s="54" t="s">
        <v>1419</v>
      </c>
      <c r="D655" s="54" t="s">
        <v>251</v>
      </c>
      <c r="E655" s="66">
        <f t="shared" si="174"/>
        <v>0</v>
      </c>
      <c r="F655" s="13">
        <f t="shared" si="175"/>
        <v>0</v>
      </c>
      <c r="G655" s="67">
        <f t="shared" si="176"/>
        <v>0</v>
      </c>
      <c r="H655" s="64">
        <f t="shared" si="172"/>
        <v>0</v>
      </c>
      <c r="I655" s="80">
        <v>0</v>
      </c>
      <c r="J655" s="80">
        <v>0</v>
      </c>
      <c r="K655" s="59">
        <f t="shared" si="177"/>
        <v>0</v>
      </c>
      <c r="L655" s="59">
        <v>0</v>
      </c>
      <c r="M655" s="59">
        <v>0</v>
      </c>
      <c r="N655" s="59">
        <f t="shared" si="178"/>
        <v>0</v>
      </c>
      <c r="O655" s="15">
        <f t="shared" si="179"/>
        <v>0</v>
      </c>
      <c r="P655" s="87">
        <f t="shared" si="180"/>
        <v>0</v>
      </c>
      <c r="Q655" s="110">
        <v>0</v>
      </c>
      <c r="R655" s="59">
        <v>0</v>
      </c>
      <c r="S655" s="14">
        <v>0</v>
      </c>
      <c r="T655" s="59">
        <v>0</v>
      </c>
      <c r="U655" s="15">
        <f t="shared" si="173"/>
        <v>0</v>
      </c>
      <c r="V655" s="14">
        <v>0</v>
      </c>
      <c r="W655" s="15">
        <f t="shared" si="181"/>
        <v>0</v>
      </c>
      <c r="X655" s="14">
        <v>0</v>
      </c>
      <c r="Y655" s="75">
        <v>0</v>
      </c>
      <c r="Z655" s="87">
        <f t="shared" si="182"/>
        <v>0</v>
      </c>
      <c r="AA655" s="14">
        <f t="shared" si="183"/>
        <v>0</v>
      </c>
      <c r="AB655" s="75">
        <v>0</v>
      </c>
      <c r="AC655" s="75">
        <v>0</v>
      </c>
      <c r="AD655" s="59">
        <f t="shared" si="184"/>
        <v>0</v>
      </c>
      <c r="AE655" s="73">
        <v>0</v>
      </c>
      <c r="AF655" s="73">
        <v>0</v>
      </c>
      <c r="AG655" s="15">
        <f t="shared" si="185"/>
        <v>0</v>
      </c>
      <c r="AH655" s="16">
        <f t="shared" si="186"/>
        <v>0</v>
      </c>
      <c r="AI655" s="17">
        <f t="shared" si="187"/>
        <v>0</v>
      </c>
      <c r="AJ655" s="12">
        <f>VLOOKUP(A655,'PreK Proxy - Sept. 2024'!$A$2:$I$674,9,FALSE)</f>
        <v>59</v>
      </c>
      <c r="AK655" s="18">
        <f t="shared" si="188"/>
        <v>0</v>
      </c>
    </row>
    <row r="656" spans="1:37" x14ac:dyDescent="0.35">
      <c r="A656" s="11" t="s">
        <v>1316</v>
      </c>
      <c r="B656" s="12" t="s">
        <v>1317</v>
      </c>
      <c r="C656" s="54" t="s">
        <v>1419</v>
      </c>
      <c r="D656" s="54" t="s">
        <v>251</v>
      </c>
      <c r="E656" s="66">
        <f t="shared" si="174"/>
        <v>290</v>
      </c>
      <c r="F656" s="13">
        <f t="shared" si="175"/>
        <v>290</v>
      </c>
      <c r="G656" s="67">
        <f t="shared" si="176"/>
        <v>0</v>
      </c>
      <c r="H656" s="64">
        <f t="shared" si="172"/>
        <v>277</v>
      </c>
      <c r="I656" s="80">
        <v>0</v>
      </c>
      <c r="J656" s="80">
        <v>0</v>
      </c>
      <c r="K656" s="59">
        <f t="shared" si="177"/>
        <v>0</v>
      </c>
      <c r="L656" s="59">
        <v>0</v>
      </c>
      <c r="M656" s="59">
        <v>277</v>
      </c>
      <c r="N656" s="59">
        <f t="shared" si="178"/>
        <v>277</v>
      </c>
      <c r="O656" s="15">
        <f t="shared" si="179"/>
        <v>277</v>
      </c>
      <c r="P656" s="87">
        <f t="shared" si="180"/>
        <v>0</v>
      </c>
      <c r="Q656" s="110">
        <v>0</v>
      </c>
      <c r="R656" s="59">
        <v>0</v>
      </c>
      <c r="S656" s="14">
        <v>13</v>
      </c>
      <c r="T656" s="59">
        <v>277</v>
      </c>
      <c r="U656" s="15">
        <f t="shared" si="173"/>
        <v>290</v>
      </c>
      <c r="V656" s="14">
        <v>0</v>
      </c>
      <c r="W656" s="15">
        <f t="shared" si="181"/>
        <v>0</v>
      </c>
      <c r="X656" s="14">
        <v>0</v>
      </c>
      <c r="Y656" s="75">
        <v>0</v>
      </c>
      <c r="Z656" s="87">
        <f t="shared" si="182"/>
        <v>0</v>
      </c>
      <c r="AA656" s="14">
        <f t="shared" si="183"/>
        <v>0</v>
      </c>
      <c r="AB656" s="75">
        <v>0</v>
      </c>
      <c r="AC656" s="75">
        <v>0</v>
      </c>
      <c r="AD656" s="59">
        <f t="shared" si="184"/>
        <v>0</v>
      </c>
      <c r="AE656" s="73">
        <v>0</v>
      </c>
      <c r="AF656" s="73">
        <v>0</v>
      </c>
      <c r="AG656" s="15">
        <f t="shared" si="185"/>
        <v>0</v>
      </c>
      <c r="AH656" s="16">
        <f t="shared" si="186"/>
        <v>0</v>
      </c>
      <c r="AI656" s="17">
        <f t="shared" si="187"/>
        <v>290</v>
      </c>
      <c r="AJ656" s="12">
        <f>VLOOKUP(A656,'PreK Proxy - Sept. 2024'!$A$2:$I$674,9,FALSE)</f>
        <v>229</v>
      </c>
      <c r="AK656" s="18">
        <f t="shared" si="188"/>
        <v>1</v>
      </c>
    </row>
    <row r="657" spans="1:37" x14ac:dyDescent="0.35">
      <c r="A657" s="11" t="s">
        <v>1318</v>
      </c>
      <c r="B657" s="12" t="s">
        <v>1319</v>
      </c>
      <c r="C657" s="54" t="s">
        <v>1419</v>
      </c>
      <c r="D657" s="54" t="s">
        <v>251</v>
      </c>
      <c r="E657" s="66">
        <f t="shared" si="174"/>
        <v>0</v>
      </c>
      <c r="F657" s="13">
        <f t="shared" si="175"/>
        <v>0</v>
      </c>
      <c r="G657" s="67">
        <f t="shared" si="176"/>
        <v>0</v>
      </c>
      <c r="H657" s="64">
        <f t="shared" si="172"/>
        <v>0</v>
      </c>
      <c r="I657" s="80">
        <v>0</v>
      </c>
      <c r="J657" s="80">
        <v>0</v>
      </c>
      <c r="K657" s="59">
        <f t="shared" si="177"/>
        <v>0</v>
      </c>
      <c r="L657" s="59">
        <v>0</v>
      </c>
      <c r="M657" s="59">
        <v>0</v>
      </c>
      <c r="N657" s="59">
        <f t="shared" si="178"/>
        <v>0</v>
      </c>
      <c r="O657" s="15">
        <f t="shared" si="179"/>
        <v>0</v>
      </c>
      <c r="P657" s="87">
        <f t="shared" si="180"/>
        <v>0</v>
      </c>
      <c r="Q657" s="110">
        <v>0</v>
      </c>
      <c r="R657" s="59">
        <v>0</v>
      </c>
      <c r="S657" s="14">
        <v>0</v>
      </c>
      <c r="T657" s="59">
        <v>0</v>
      </c>
      <c r="U657" s="15">
        <f t="shared" si="173"/>
        <v>0</v>
      </c>
      <c r="V657" s="14">
        <v>0</v>
      </c>
      <c r="W657" s="15">
        <f t="shared" si="181"/>
        <v>0</v>
      </c>
      <c r="X657" s="14">
        <v>0</v>
      </c>
      <c r="Y657" s="75">
        <v>0</v>
      </c>
      <c r="Z657" s="87">
        <f t="shared" si="182"/>
        <v>0</v>
      </c>
      <c r="AA657" s="14">
        <f t="shared" si="183"/>
        <v>0</v>
      </c>
      <c r="AB657" s="75">
        <v>0</v>
      </c>
      <c r="AC657" s="75">
        <v>0</v>
      </c>
      <c r="AD657" s="59">
        <f t="shared" si="184"/>
        <v>0</v>
      </c>
      <c r="AE657" s="73">
        <v>0</v>
      </c>
      <c r="AF657" s="73">
        <v>0</v>
      </c>
      <c r="AG657" s="15">
        <f t="shared" si="185"/>
        <v>0</v>
      </c>
      <c r="AH657" s="16">
        <f t="shared" si="186"/>
        <v>0</v>
      </c>
      <c r="AI657" s="17">
        <f t="shared" si="187"/>
        <v>0</v>
      </c>
      <c r="AJ657" s="12">
        <f>VLOOKUP(A657,'PreK Proxy - Sept. 2024'!$A$2:$I$674,9,FALSE)</f>
        <v>83</v>
      </c>
      <c r="AK657" s="18">
        <f t="shared" si="188"/>
        <v>0</v>
      </c>
    </row>
    <row r="658" spans="1:37" x14ac:dyDescent="0.35">
      <c r="A658" s="11" t="s">
        <v>1320</v>
      </c>
      <c r="B658" s="12" t="s">
        <v>1321</v>
      </c>
      <c r="C658" s="54" t="s">
        <v>1419</v>
      </c>
      <c r="D658" s="54" t="s">
        <v>251</v>
      </c>
      <c r="E658" s="66">
        <f t="shared" si="174"/>
        <v>204</v>
      </c>
      <c r="F658" s="13">
        <f t="shared" si="175"/>
        <v>204</v>
      </c>
      <c r="G658" s="67">
        <f t="shared" si="176"/>
        <v>0</v>
      </c>
      <c r="H658" s="64">
        <f t="shared" si="172"/>
        <v>118</v>
      </c>
      <c r="I658" s="80">
        <v>0</v>
      </c>
      <c r="J658" s="80">
        <v>0</v>
      </c>
      <c r="K658" s="59">
        <f t="shared" si="177"/>
        <v>0</v>
      </c>
      <c r="L658" s="59">
        <v>0</v>
      </c>
      <c r="M658" s="59">
        <v>118</v>
      </c>
      <c r="N658" s="59">
        <f t="shared" si="178"/>
        <v>118</v>
      </c>
      <c r="O658" s="15">
        <f t="shared" si="179"/>
        <v>0</v>
      </c>
      <c r="P658" s="87">
        <f t="shared" si="180"/>
        <v>0</v>
      </c>
      <c r="Q658" s="110">
        <v>0</v>
      </c>
      <c r="R658" s="59">
        <v>0</v>
      </c>
      <c r="S658" s="14">
        <v>0</v>
      </c>
      <c r="T658" s="59">
        <v>0</v>
      </c>
      <c r="U658" s="15">
        <f t="shared" si="173"/>
        <v>0</v>
      </c>
      <c r="V658" s="14">
        <v>0</v>
      </c>
      <c r="W658" s="15">
        <f t="shared" si="181"/>
        <v>0</v>
      </c>
      <c r="X658" s="14">
        <v>86</v>
      </c>
      <c r="Y658" s="75">
        <v>0</v>
      </c>
      <c r="Z658" s="87">
        <f t="shared" si="182"/>
        <v>86</v>
      </c>
      <c r="AA658" s="14">
        <f t="shared" si="183"/>
        <v>0</v>
      </c>
      <c r="AB658" s="75">
        <v>0</v>
      </c>
      <c r="AC658" s="75">
        <v>0</v>
      </c>
      <c r="AD658" s="59">
        <f t="shared" si="184"/>
        <v>0</v>
      </c>
      <c r="AE658" s="73">
        <v>0</v>
      </c>
      <c r="AF658" s="73">
        <v>0</v>
      </c>
      <c r="AG658" s="15">
        <f t="shared" si="185"/>
        <v>0</v>
      </c>
      <c r="AH658" s="16">
        <f t="shared" si="186"/>
        <v>0</v>
      </c>
      <c r="AI658" s="17">
        <f t="shared" si="187"/>
        <v>204</v>
      </c>
      <c r="AJ658" s="12">
        <f>VLOOKUP(A658,'PreK Proxy - Sept. 2024'!$A$2:$I$674,9,FALSE)</f>
        <v>204</v>
      </c>
      <c r="AK658" s="18">
        <f t="shared" si="188"/>
        <v>1</v>
      </c>
    </row>
    <row r="659" spans="1:37" x14ac:dyDescent="0.35">
      <c r="A659" s="11" t="s">
        <v>1322</v>
      </c>
      <c r="B659" s="12" t="s">
        <v>1323</v>
      </c>
      <c r="C659" s="54" t="s">
        <v>1419</v>
      </c>
      <c r="D659" s="54" t="s">
        <v>251</v>
      </c>
      <c r="E659" s="66">
        <f t="shared" si="174"/>
        <v>0</v>
      </c>
      <c r="F659" s="13">
        <f t="shared" si="175"/>
        <v>0</v>
      </c>
      <c r="G659" s="67">
        <f t="shared" si="176"/>
        <v>0</v>
      </c>
      <c r="H659" s="64">
        <f t="shared" si="172"/>
        <v>0</v>
      </c>
      <c r="I659" s="80">
        <v>0</v>
      </c>
      <c r="J659" s="80">
        <v>0</v>
      </c>
      <c r="K659" s="59">
        <f t="shared" si="177"/>
        <v>0</v>
      </c>
      <c r="L659" s="59">
        <v>0</v>
      </c>
      <c r="M659" s="59">
        <v>0</v>
      </c>
      <c r="N659" s="59">
        <f t="shared" si="178"/>
        <v>0</v>
      </c>
      <c r="O659" s="15">
        <f t="shared" si="179"/>
        <v>0</v>
      </c>
      <c r="P659" s="87">
        <f t="shared" si="180"/>
        <v>0</v>
      </c>
      <c r="Q659" s="110">
        <v>0</v>
      </c>
      <c r="R659" s="59">
        <v>0</v>
      </c>
      <c r="S659" s="14">
        <v>0</v>
      </c>
      <c r="T659" s="59">
        <v>0</v>
      </c>
      <c r="U659" s="15">
        <f t="shared" si="173"/>
        <v>0</v>
      </c>
      <c r="V659" s="14">
        <v>0</v>
      </c>
      <c r="W659" s="15">
        <f t="shared" si="181"/>
        <v>0</v>
      </c>
      <c r="X659" s="14">
        <v>0</v>
      </c>
      <c r="Y659" s="75">
        <v>0</v>
      </c>
      <c r="Z659" s="87">
        <f t="shared" si="182"/>
        <v>0</v>
      </c>
      <c r="AA659" s="14">
        <f t="shared" si="183"/>
        <v>0</v>
      </c>
      <c r="AB659" s="75">
        <v>0</v>
      </c>
      <c r="AC659" s="75">
        <v>0</v>
      </c>
      <c r="AD659" s="59">
        <f t="shared" si="184"/>
        <v>0</v>
      </c>
      <c r="AE659" s="73">
        <v>0</v>
      </c>
      <c r="AF659" s="73">
        <v>0</v>
      </c>
      <c r="AG659" s="15">
        <f t="shared" si="185"/>
        <v>0</v>
      </c>
      <c r="AH659" s="16">
        <f t="shared" si="186"/>
        <v>0</v>
      </c>
      <c r="AI659" s="17">
        <f t="shared" si="187"/>
        <v>0</v>
      </c>
      <c r="AJ659" s="12">
        <f>VLOOKUP(A659,'PreK Proxy - Sept. 2024'!$A$2:$I$674,9,FALSE)</f>
        <v>149</v>
      </c>
      <c r="AK659" s="18">
        <f t="shared" si="188"/>
        <v>0</v>
      </c>
    </row>
    <row r="660" spans="1:37" x14ac:dyDescent="0.35">
      <c r="A660" s="11" t="s">
        <v>1324</v>
      </c>
      <c r="B660" s="12" t="s">
        <v>1325</v>
      </c>
      <c r="C660" s="54" t="s">
        <v>1419</v>
      </c>
      <c r="D660" s="54" t="s">
        <v>251</v>
      </c>
      <c r="E660" s="66">
        <f t="shared" si="174"/>
        <v>0</v>
      </c>
      <c r="F660" s="13">
        <f t="shared" si="175"/>
        <v>0</v>
      </c>
      <c r="G660" s="67">
        <f t="shared" si="176"/>
        <v>0</v>
      </c>
      <c r="H660" s="64">
        <f t="shared" si="172"/>
        <v>0</v>
      </c>
      <c r="I660" s="80">
        <v>0</v>
      </c>
      <c r="J660" s="80">
        <v>0</v>
      </c>
      <c r="K660" s="59">
        <f t="shared" si="177"/>
        <v>0</v>
      </c>
      <c r="L660" s="59">
        <v>0</v>
      </c>
      <c r="M660" s="59">
        <v>0</v>
      </c>
      <c r="N660" s="59">
        <f t="shared" si="178"/>
        <v>0</v>
      </c>
      <c r="O660" s="15">
        <f t="shared" si="179"/>
        <v>0</v>
      </c>
      <c r="P660" s="87">
        <f t="shared" si="180"/>
        <v>0</v>
      </c>
      <c r="Q660" s="110">
        <v>0</v>
      </c>
      <c r="R660" s="59">
        <v>0</v>
      </c>
      <c r="S660" s="14">
        <v>0</v>
      </c>
      <c r="T660" s="59">
        <v>0</v>
      </c>
      <c r="U660" s="15">
        <f t="shared" si="173"/>
        <v>0</v>
      </c>
      <c r="V660" s="14">
        <v>0</v>
      </c>
      <c r="W660" s="15">
        <f t="shared" si="181"/>
        <v>0</v>
      </c>
      <c r="X660" s="14">
        <v>0</v>
      </c>
      <c r="Y660" s="75">
        <v>0</v>
      </c>
      <c r="Z660" s="87">
        <f t="shared" si="182"/>
        <v>0</v>
      </c>
      <c r="AA660" s="14">
        <f t="shared" si="183"/>
        <v>0</v>
      </c>
      <c r="AB660" s="75">
        <v>0</v>
      </c>
      <c r="AC660" s="75">
        <v>0</v>
      </c>
      <c r="AD660" s="59">
        <f t="shared" si="184"/>
        <v>0</v>
      </c>
      <c r="AE660" s="73">
        <v>0</v>
      </c>
      <c r="AF660" s="73">
        <v>0</v>
      </c>
      <c r="AG660" s="15">
        <f t="shared" si="185"/>
        <v>0</v>
      </c>
      <c r="AH660" s="16">
        <f t="shared" si="186"/>
        <v>0</v>
      </c>
      <c r="AI660" s="17">
        <f t="shared" si="187"/>
        <v>0</v>
      </c>
      <c r="AJ660" s="12">
        <f>VLOOKUP(A660,'PreK Proxy - Sept. 2024'!$A$2:$I$674,9,FALSE)</f>
        <v>253</v>
      </c>
      <c r="AK660" s="18">
        <f t="shared" si="188"/>
        <v>0</v>
      </c>
    </row>
    <row r="661" spans="1:37" x14ac:dyDescent="0.35">
      <c r="A661" s="11" t="s">
        <v>1326</v>
      </c>
      <c r="B661" s="12" t="s">
        <v>1327</v>
      </c>
      <c r="C661" s="54" t="s">
        <v>1419</v>
      </c>
      <c r="D661" s="54" t="s">
        <v>251</v>
      </c>
      <c r="E661" s="66">
        <f t="shared" si="174"/>
        <v>0</v>
      </c>
      <c r="F661" s="13">
        <f t="shared" si="175"/>
        <v>0</v>
      </c>
      <c r="G661" s="67">
        <f t="shared" si="176"/>
        <v>0</v>
      </c>
      <c r="H661" s="64">
        <f t="shared" si="172"/>
        <v>0</v>
      </c>
      <c r="I661" s="80">
        <v>0</v>
      </c>
      <c r="J661" s="80">
        <v>0</v>
      </c>
      <c r="K661" s="59">
        <f t="shared" si="177"/>
        <v>0</v>
      </c>
      <c r="L661" s="59">
        <v>0</v>
      </c>
      <c r="M661" s="59">
        <v>0</v>
      </c>
      <c r="N661" s="59">
        <f t="shared" si="178"/>
        <v>0</v>
      </c>
      <c r="O661" s="15">
        <f t="shared" si="179"/>
        <v>0</v>
      </c>
      <c r="P661" s="87">
        <f t="shared" si="180"/>
        <v>0</v>
      </c>
      <c r="Q661" s="110">
        <v>0</v>
      </c>
      <c r="R661" s="59">
        <v>0</v>
      </c>
      <c r="S661" s="14">
        <v>0</v>
      </c>
      <c r="T661" s="59">
        <v>0</v>
      </c>
      <c r="U661" s="15">
        <f t="shared" si="173"/>
        <v>0</v>
      </c>
      <c r="V661" s="14">
        <v>0</v>
      </c>
      <c r="W661" s="15">
        <f t="shared" si="181"/>
        <v>0</v>
      </c>
      <c r="X661" s="14">
        <v>0</v>
      </c>
      <c r="Y661" s="75">
        <v>0</v>
      </c>
      <c r="Z661" s="87">
        <f t="shared" si="182"/>
        <v>0</v>
      </c>
      <c r="AA661" s="14">
        <f t="shared" si="183"/>
        <v>0</v>
      </c>
      <c r="AB661" s="75">
        <v>0</v>
      </c>
      <c r="AC661" s="75">
        <v>0</v>
      </c>
      <c r="AD661" s="59">
        <f t="shared" si="184"/>
        <v>0</v>
      </c>
      <c r="AE661" s="73">
        <v>0</v>
      </c>
      <c r="AF661" s="73">
        <v>0</v>
      </c>
      <c r="AG661" s="15">
        <f t="shared" si="185"/>
        <v>0</v>
      </c>
      <c r="AH661" s="16">
        <f t="shared" si="186"/>
        <v>0</v>
      </c>
      <c r="AI661" s="17">
        <f t="shared" si="187"/>
        <v>0</v>
      </c>
      <c r="AJ661" s="12">
        <f>VLOOKUP(A661,'PreK Proxy - Sept. 2024'!$A$2:$I$674,9,FALSE)</f>
        <v>90</v>
      </c>
      <c r="AK661" s="18">
        <f t="shared" si="188"/>
        <v>0</v>
      </c>
    </row>
    <row r="662" spans="1:37" x14ac:dyDescent="0.35">
      <c r="A662" s="11" t="s">
        <v>1328</v>
      </c>
      <c r="B662" s="12" t="s">
        <v>1329</v>
      </c>
      <c r="C662" s="54" t="s">
        <v>1419</v>
      </c>
      <c r="D662" s="54" t="s">
        <v>251</v>
      </c>
      <c r="E662" s="66">
        <f t="shared" si="174"/>
        <v>185</v>
      </c>
      <c r="F662" s="13">
        <f t="shared" si="175"/>
        <v>185</v>
      </c>
      <c r="G662" s="67">
        <f t="shared" si="176"/>
        <v>0</v>
      </c>
      <c r="H662" s="64">
        <f t="shared" si="172"/>
        <v>185</v>
      </c>
      <c r="I662" s="80">
        <v>0</v>
      </c>
      <c r="J662" s="80">
        <v>0</v>
      </c>
      <c r="K662" s="59">
        <f t="shared" si="177"/>
        <v>0</v>
      </c>
      <c r="L662" s="59">
        <v>0</v>
      </c>
      <c r="M662" s="59">
        <v>185</v>
      </c>
      <c r="N662" s="59">
        <f t="shared" si="178"/>
        <v>185</v>
      </c>
      <c r="O662" s="15">
        <f t="shared" si="179"/>
        <v>0</v>
      </c>
      <c r="P662" s="87">
        <f t="shared" si="180"/>
        <v>0</v>
      </c>
      <c r="Q662" s="110">
        <v>0</v>
      </c>
      <c r="R662" s="59">
        <v>0</v>
      </c>
      <c r="S662" s="14">
        <v>0</v>
      </c>
      <c r="T662" s="59">
        <v>0</v>
      </c>
      <c r="U662" s="15">
        <f t="shared" si="173"/>
        <v>0</v>
      </c>
      <c r="V662" s="14">
        <v>0</v>
      </c>
      <c r="W662" s="15">
        <f t="shared" si="181"/>
        <v>0</v>
      </c>
      <c r="X662" s="14">
        <v>0</v>
      </c>
      <c r="Y662" s="75">
        <v>0</v>
      </c>
      <c r="Z662" s="87">
        <f t="shared" si="182"/>
        <v>0</v>
      </c>
      <c r="AA662" s="14">
        <f t="shared" si="183"/>
        <v>0</v>
      </c>
      <c r="AB662" s="75">
        <v>0</v>
      </c>
      <c r="AC662" s="75">
        <v>0</v>
      </c>
      <c r="AD662" s="59">
        <f t="shared" si="184"/>
        <v>0</v>
      </c>
      <c r="AE662" s="73">
        <v>0</v>
      </c>
      <c r="AF662" s="73">
        <v>0</v>
      </c>
      <c r="AG662" s="15">
        <f t="shared" si="185"/>
        <v>0</v>
      </c>
      <c r="AH662" s="16">
        <f t="shared" si="186"/>
        <v>0</v>
      </c>
      <c r="AI662" s="17">
        <f t="shared" si="187"/>
        <v>185</v>
      </c>
      <c r="AJ662" s="12">
        <f>VLOOKUP(A662,'PreK Proxy - Sept. 2024'!$A$2:$I$674,9,FALSE)</f>
        <v>282</v>
      </c>
      <c r="AK662" s="18">
        <f t="shared" si="188"/>
        <v>0.65602836879432624</v>
      </c>
    </row>
    <row r="663" spans="1:37" x14ac:dyDescent="0.35">
      <c r="A663" s="11" t="s">
        <v>1330</v>
      </c>
      <c r="B663" s="12" t="s">
        <v>1331</v>
      </c>
      <c r="C663" s="54" t="s">
        <v>1419</v>
      </c>
      <c r="D663" s="54" t="s">
        <v>251</v>
      </c>
      <c r="E663" s="66">
        <f t="shared" si="174"/>
        <v>0</v>
      </c>
      <c r="F663" s="13">
        <f t="shared" si="175"/>
        <v>0</v>
      </c>
      <c r="G663" s="67">
        <f t="shared" si="176"/>
        <v>0</v>
      </c>
      <c r="H663" s="64">
        <f t="shared" si="172"/>
        <v>0</v>
      </c>
      <c r="I663" s="80">
        <v>0</v>
      </c>
      <c r="J663" s="80">
        <v>0</v>
      </c>
      <c r="K663" s="59">
        <f t="shared" si="177"/>
        <v>0</v>
      </c>
      <c r="L663" s="59">
        <v>0</v>
      </c>
      <c r="M663" s="59">
        <v>0</v>
      </c>
      <c r="N663" s="59">
        <f t="shared" si="178"/>
        <v>0</v>
      </c>
      <c r="O663" s="15">
        <f t="shared" si="179"/>
        <v>0</v>
      </c>
      <c r="P663" s="87">
        <f t="shared" si="180"/>
        <v>0</v>
      </c>
      <c r="Q663" s="110">
        <v>0</v>
      </c>
      <c r="R663" s="59">
        <v>0</v>
      </c>
      <c r="S663" s="14">
        <v>0</v>
      </c>
      <c r="T663" s="59">
        <v>0</v>
      </c>
      <c r="U663" s="15">
        <f t="shared" si="173"/>
        <v>0</v>
      </c>
      <c r="V663" s="14">
        <v>0</v>
      </c>
      <c r="W663" s="15">
        <f t="shared" si="181"/>
        <v>0</v>
      </c>
      <c r="X663" s="14">
        <v>0</v>
      </c>
      <c r="Y663" s="75">
        <v>0</v>
      </c>
      <c r="Z663" s="87">
        <f t="shared" si="182"/>
        <v>0</v>
      </c>
      <c r="AA663" s="14">
        <f t="shared" si="183"/>
        <v>0</v>
      </c>
      <c r="AB663" s="75">
        <v>0</v>
      </c>
      <c r="AC663" s="75">
        <v>0</v>
      </c>
      <c r="AD663" s="59">
        <f t="shared" si="184"/>
        <v>0</v>
      </c>
      <c r="AE663" s="73">
        <v>0</v>
      </c>
      <c r="AF663" s="73">
        <v>0</v>
      </c>
      <c r="AG663" s="15">
        <f t="shared" si="185"/>
        <v>0</v>
      </c>
      <c r="AH663" s="16">
        <f t="shared" si="186"/>
        <v>0</v>
      </c>
      <c r="AI663" s="17">
        <f t="shared" si="187"/>
        <v>0</v>
      </c>
      <c r="AJ663" s="12">
        <f>VLOOKUP(A663,'PreK Proxy - Sept. 2024'!$A$2:$I$674,9,FALSE)</f>
        <v>89</v>
      </c>
      <c r="AK663" s="18">
        <f t="shared" si="188"/>
        <v>0</v>
      </c>
    </row>
    <row r="664" spans="1:37" x14ac:dyDescent="0.35">
      <c r="A664" s="11" t="s">
        <v>1332</v>
      </c>
      <c r="B664" s="12" t="s">
        <v>1333</v>
      </c>
      <c r="C664" s="54" t="s">
        <v>1419</v>
      </c>
      <c r="D664" s="54" t="s">
        <v>251</v>
      </c>
      <c r="E664" s="66">
        <f t="shared" si="174"/>
        <v>0</v>
      </c>
      <c r="F664" s="13">
        <f t="shared" si="175"/>
        <v>0</v>
      </c>
      <c r="G664" s="67">
        <f t="shared" si="176"/>
        <v>0</v>
      </c>
      <c r="H664" s="64">
        <f t="shared" si="172"/>
        <v>0</v>
      </c>
      <c r="I664" s="80">
        <v>0</v>
      </c>
      <c r="J664" s="80">
        <v>0</v>
      </c>
      <c r="K664" s="59">
        <f t="shared" si="177"/>
        <v>0</v>
      </c>
      <c r="L664" s="59">
        <v>0</v>
      </c>
      <c r="M664" s="59">
        <v>0</v>
      </c>
      <c r="N664" s="59">
        <f t="shared" si="178"/>
        <v>0</v>
      </c>
      <c r="O664" s="15">
        <f t="shared" si="179"/>
        <v>0</v>
      </c>
      <c r="P664" s="87">
        <f t="shared" si="180"/>
        <v>0</v>
      </c>
      <c r="Q664" s="110">
        <v>0</v>
      </c>
      <c r="R664" s="59">
        <v>0</v>
      </c>
      <c r="S664" s="14">
        <v>0</v>
      </c>
      <c r="T664" s="59">
        <v>0</v>
      </c>
      <c r="U664" s="15">
        <f t="shared" si="173"/>
        <v>0</v>
      </c>
      <c r="V664" s="14">
        <v>0</v>
      </c>
      <c r="W664" s="15">
        <f t="shared" si="181"/>
        <v>0</v>
      </c>
      <c r="X664" s="14">
        <v>0</v>
      </c>
      <c r="Y664" s="75">
        <v>0</v>
      </c>
      <c r="Z664" s="87">
        <f t="shared" si="182"/>
        <v>0</v>
      </c>
      <c r="AA664" s="14">
        <f t="shared" si="183"/>
        <v>0</v>
      </c>
      <c r="AB664" s="75">
        <v>0</v>
      </c>
      <c r="AC664" s="75">
        <v>0</v>
      </c>
      <c r="AD664" s="59">
        <f t="shared" si="184"/>
        <v>0</v>
      </c>
      <c r="AE664" s="73">
        <v>0</v>
      </c>
      <c r="AF664" s="73">
        <v>0</v>
      </c>
      <c r="AG664" s="15">
        <f t="shared" si="185"/>
        <v>0</v>
      </c>
      <c r="AH664" s="16">
        <f t="shared" si="186"/>
        <v>0</v>
      </c>
      <c r="AI664" s="17">
        <f t="shared" si="187"/>
        <v>0</v>
      </c>
      <c r="AJ664" s="12">
        <f>VLOOKUP(A664,'PreK Proxy - Sept. 2024'!$A$2:$I$674,9,FALSE)</f>
        <v>331</v>
      </c>
      <c r="AK664" s="18">
        <f t="shared" si="188"/>
        <v>0</v>
      </c>
    </row>
    <row r="665" spans="1:37" x14ac:dyDescent="0.35">
      <c r="A665" s="11" t="s">
        <v>1334</v>
      </c>
      <c r="B665" s="12" t="s">
        <v>1335</v>
      </c>
      <c r="C665" s="54" t="s">
        <v>1419</v>
      </c>
      <c r="D665" s="54" t="s">
        <v>251</v>
      </c>
      <c r="E665" s="66">
        <f t="shared" si="174"/>
        <v>83</v>
      </c>
      <c r="F665" s="13">
        <f t="shared" si="175"/>
        <v>83</v>
      </c>
      <c r="G665" s="67">
        <f t="shared" si="176"/>
        <v>0</v>
      </c>
      <c r="H665" s="64">
        <f t="shared" si="172"/>
        <v>39</v>
      </c>
      <c r="I665" s="80">
        <v>0</v>
      </c>
      <c r="J665" s="80">
        <v>0</v>
      </c>
      <c r="K665" s="59">
        <f t="shared" si="177"/>
        <v>0</v>
      </c>
      <c r="L665" s="59">
        <v>0</v>
      </c>
      <c r="M665" s="59">
        <v>39</v>
      </c>
      <c r="N665" s="59">
        <f t="shared" si="178"/>
        <v>39</v>
      </c>
      <c r="O665" s="15">
        <f t="shared" si="179"/>
        <v>0</v>
      </c>
      <c r="P665" s="87">
        <f t="shared" si="180"/>
        <v>44</v>
      </c>
      <c r="Q665" s="110">
        <v>0</v>
      </c>
      <c r="R665" s="59">
        <v>44</v>
      </c>
      <c r="S665" s="14">
        <v>0</v>
      </c>
      <c r="T665" s="59">
        <v>0</v>
      </c>
      <c r="U665" s="15">
        <f t="shared" si="173"/>
        <v>0</v>
      </c>
      <c r="V665" s="14">
        <v>0</v>
      </c>
      <c r="W665" s="15">
        <f t="shared" si="181"/>
        <v>0</v>
      </c>
      <c r="X665" s="14">
        <v>0</v>
      </c>
      <c r="Y665" s="75">
        <v>0</v>
      </c>
      <c r="Z665" s="87">
        <f t="shared" si="182"/>
        <v>0</v>
      </c>
      <c r="AA665" s="14">
        <f t="shared" si="183"/>
        <v>0</v>
      </c>
      <c r="AB665" s="75">
        <v>0</v>
      </c>
      <c r="AC665" s="75">
        <v>0</v>
      </c>
      <c r="AD665" s="59">
        <f t="shared" si="184"/>
        <v>0</v>
      </c>
      <c r="AE665" s="73">
        <v>0</v>
      </c>
      <c r="AF665" s="73">
        <v>0</v>
      </c>
      <c r="AG665" s="15">
        <f t="shared" si="185"/>
        <v>0</v>
      </c>
      <c r="AH665" s="16">
        <f t="shared" si="186"/>
        <v>0</v>
      </c>
      <c r="AI665" s="17">
        <f t="shared" si="187"/>
        <v>83</v>
      </c>
      <c r="AJ665" s="12">
        <f>VLOOKUP(A665,'PreK Proxy - Sept. 2024'!$A$2:$I$674,9,FALSE)</f>
        <v>130</v>
      </c>
      <c r="AK665" s="18">
        <f t="shared" si="188"/>
        <v>0.63846153846153841</v>
      </c>
    </row>
    <row r="666" spans="1:37" x14ac:dyDescent="0.35">
      <c r="A666" s="11" t="s">
        <v>1336</v>
      </c>
      <c r="B666" s="12" t="s">
        <v>1337</v>
      </c>
      <c r="C666" s="54" t="s">
        <v>1419</v>
      </c>
      <c r="D666" s="54" t="s">
        <v>251</v>
      </c>
      <c r="E666" s="66">
        <f t="shared" si="174"/>
        <v>331</v>
      </c>
      <c r="F666" s="13">
        <f t="shared" si="175"/>
        <v>250</v>
      </c>
      <c r="G666" s="67">
        <f t="shared" si="176"/>
        <v>81</v>
      </c>
      <c r="H666" s="64">
        <f t="shared" si="172"/>
        <v>321</v>
      </c>
      <c r="I666" s="80">
        <v>0</v>
      </c>
      <c r="J666" s="80">
        <v>81</v>
      </c>
      <c r="K666" s="59">
        <f t="shared" si="177"/>
        <v>81</v>
      </c>
      <c r="L666" s="59">
        <v>0</v>
      </c>
      <c r="M666" s="59">
        <v>240</v>
      </c>
      <c r="N666" s="59">
        <f t="shared" si="178"/>
        <v>240</v>
      </c>
      <c r="O666" s="15">
        <f t="shared" si="179"/>
        <v>206</v>
      </c>
      <c r="P666" s="87">
        <f t="shared" si="180"/>
        <v>0</v>
      </c>
      <c r="Q666" s="110">
        <v>0</v>
      </c>
      <c r="R666" s="59">
        <v>0</v>
      </c>
      <c r="S666" s="14">
        <v>0</v>
      </c>
      <c r="T666" s="59">
        <v>148</v>
      </c>
      <c r="U666" s="15">
        <f t="shared" si="173"/>
        <v>148</v>
      </c>
      <c r="V666" s="14">
        <v>0</v>
      </c>
      <c r="W666" s="15">
        <f t="shared" si="181"/>
        <v>0</v>
      </c>
      <c r="X666" s="14">
        <v>10</v>
      </c>
      <c r="Y666" s="75">
        <v>58</v>
      </c>
      <c r="Z666" s="87">
        <f t="shared" si="182"/>
        <v>68</v>
      </c>
      <c r="AA666" s="14">
        <f t="shared" si="183"/>
        <v>0</v>
      </c>
      <c r="AB666" s="75">
        <v>0</v>
      </c>
      <c r="AC666" s="75">
        <v>0</v>
      </c>
      <c r="AD666" s="59">
        <f t="shared" si="184"/>
        <v>0</v>
      </c>
      <c r="AE666" s="73">
        <v>0</v>
      </c>
      <c r="AF666" s="73">
        <v>0</v>
      </c>
      <c r="AG666" s="15">
        <f t="shared" si="185"/>
        <v>0</v>
      </c>
      <c r="AH666" s="16">
        <f t="shared" si="186"/>
        <v>81</v>
      </c>
      <c r="AI666" s="17">
        <f t="shared" si="187"/>
        <v>250</v>
      </c>
      <c r="AJ666" s="12">
        <f>VLOOKUP(A666,'PreK Proxy - Sept. 2024'!$A$2:$I$674,9,FALSE)</f>
        <v>476</v>
      </c>
      <c r="AK666" s="18">
        <f t="shared" si="188"/>
        <v>0.69537815126050417</v>
      </c>
    </row>
    <row r="667" spans="1:37" x14ac:dyDescent="0.35">
      <c r="A667" s="11" t="s">
        <v>1338</v>
      </c>
      <c r="B667" s="12" t="s">
        <v>1339</v>
      </c>
      <c r="C667" s="54" t="s">
        <v>1419</v>
      </c>
      <c r="D667" s="54" t="s">
        <v>251</v>
      </c>
      <c r="E667" s="66">
        <f t="shared" si="174"/>
        <v>1366</v>
      </c>
      <c r="F667" s="13">
        <f t="shared" si="175"/>
        <v>1234</v>
      </c>
      <c r="G667" s="67">
        <f t="shared" si="176"/>
        <v>132</v>
      </c>
      <c r="H667" s="64">
        <f t="shared" si="172"/>
        <v>1366</v>
      </c>
      <c r="I667" s="80">
        <v>132</v>
      </c>
      <c r="J667" s="80">
        <v>0</v>
      </c>
      <c r="K667" s="59">
        <f t="shared" si="177"/>
        <v>132</v>
      </c>
      <c r="L667" s="59">
        <v>1</v>
      </c>
      <c r="M667" s="59">
        <v>1233</v>
      </c>
      <c r="N667" s="59">
        <f t="shared" si="178"/>
        <v>1234</v>
      </c>
      <c r="O667" s="15">
        <f t="shared" si="179"/>
        <v>0</v>
      </c>
      <c r="P667" s="87">
        <f t="shared" si="180"/>
        <v>0</v>
      </c>
      <c r="Q667" s="110">
        <v>0</v>
      </c>
      <c r="R667" s="59">
        <v>0</v>
      </c>
      <c r="S667" s="14">
        <v>0</v>
      </c>
      <c r="T667" s="59">
        <v>0</v>
      </c>
      <c r="U667" s="15">
        <f t="shared" si="173"/>
        <v>0</v>
      </c>
      <c r="V667" s="14">
        <v>0</v>
      </c>
      <c r="W667" s="15">
        <f t="shared" si="181"/>
        <v>0</v>
      </c>
      <c r="X667" s="14">
        <v>0</v>
      </c>
      <c r="Y667" s="75">
        <v>0</v>
      </c>
      <c r="Z667" s="87">
        <f t="shared" si="182"/>
        <v>0</v>
      </c>
      <c r="AA667" s="14">
        <f t="shared" si="183"/>
        <v>0</v>
      </c>
      <c r="AB667" s="75">
        <v>0</v>
      </c>
      <c r="AC667" s="75">
        <v>0</v>
      </c>
      <c r="AD667" s="59">
        <f t="shared" si="184"/>
        <v>0</v>
      </c>
      <c r="AE667" s="73">
        <v>0</v>
      </c>
      <c r="AF667" s="73">
        <v>0</v>
      </c>
      <c r="AG667" s="15">
        <f t="shared" si="185"/>
        <v>0</v>
      </c>
      <c r="AH667" s="16">
        <f t="shared" si="186"/>
        <v>0</v>
      </c>
      <c r="AI667" s="17">
        <f t="shared" si="187"/>
        <v>1233</v>
      </c>
      <c r="AJ667" s="12">
        <f>VLOOKUP(A667,'PreK Proxy - Sept. 2024'!$A$2:$I$674,9,FALSE)</f>
        <v>1252</v>
      </c>
      <c r="AK667" s="18">
        <f t="shared" si="188"/>
        <v>0.98482428115015974</v>
      </c>
    </row>
    <row r="668" spans="1:37" x14ac:dyDescent="0.35">
      <c r="A668" s="11" t="s">
        <v>1340</v>
      </c>
      <c r="B668" s="12" t="s">
        <v>1341</v>
      </c>
      <c r="C668" s="54" t="s">
        <v>1419</v>
      </c>
      <c r="D668" s="54" t="s">
        <v>251</v>
      </c>
      <c r="E668" s="66">
        <f t="shared" si="174"/>
        <v>68</v>
      </c>
      <c r="F668" s="13">
        <f t="shared" si="175"/>
        <v>0</v>
      </c>
      <c r="G668" s="67">
        <f t="shared" si="176"/>
        <v>68</v>
      </c>
      <c r="H668" s="64">
        <f t="shared" si="172"/>
        <v>68</v>
      </c>
      <c r="I668" s="80">
        <v>0</v>
      </c>
      <c r="J668" s="80">
        <v>68</v>
      </c>
      <c r="K668" s="59">
        <f t="shared" si="177"/>
        <v>68</v>
      </c>
      <c r="L668" s="59">
        <v>0</v>
      </c>
      <c r="M668" s="59">
        <v>0</v>
      </c>
      <c r="N668" s="59">
        <f t="shared" si="178"/>
        <v>0</v>
      </c>
      <c r="O668" s="15">
        <f t="shared" si="179"/>
        <v>0</v>
      </c>
      <c r="P668" s="87">
        <f t="shared" si="180"/>
        <v>0</v>
      </c>
      <c r="Q668" s="110">
        <v>0</v>
      </c>
      <c r="R668" s="59">
        <v>0</v>
      </c>
      <c r="S668" s="14">
        <v>0</v>
      </c>
      <c r="T668" s="59">
        <v>0</v>
      </c>
      <c r="U668" s="15">
        <f t="shared" si="173"/>
        <v>0</v>
      </c>
      <c r="V668" s="14">
        <v>0</v>
      </c>
      <c r="W668" s="15">
        <f t="shared" si="181"/>
        <v>0</v>
      </c>
      <c r="X668" s="14">
        <v>0</v>
      </c>
      <c r="Y668" s="75">
        <v>0</v>
      </c>
      <c r="Z668" s="87">
        <f t="shared" si="182"/>
        <v>0</v>
      </c>
      <c r="AA668" s="14">
        <f t="shared" si="183"/>
        <v>0</v>
      </c>
      <c r="AB668" s="75">
        <v>0</v>
      </c>
      <c r="AC668" s="75">
        <v>0</v>
      </c>
      <c r="AD668" s="59">
        <f t="shared" si="184"/>
        <v>0</v>
      </c>
      <c r="AE668" s="73">
        <v>0</v>
      </c>
      <c r="AF668" s="73">
        <v>0</v>
      </c>
      <c r="AG668" s="15">
        <f t="shared" si="185"/>
        <v>0</v>
      </c>
      <c r="AH668" s="16">
        <f t="shared" si="186"/>
        <v>68</v>
      </c>
      <c r="AI668" s="17">
        <f t="shared" si="187"/>
        <v>0</v>
      </c>
      <c r="AJ668" s="12">
        <f>VLOOKUP(A668,'PreK Proxy - Sept. 2024'!$A$2:$I$674,9,FALSE)</f>
        <v>311</v>
      </c>
      <c r="AK668" s="18">
        <f t="shared" si="188"/>
        <v>0.21864951768488747</v>
      </c>
    </row>
    <row r="669" spans="1:37" x14ac:dyDescent="0.35">
      <c r="A669" s="11" t="s">
        <v>1342</v>
      </c>
      <c r="B669" s="12" t="s">
        <v>1343</v>
      </c>
      <c r="C669" s="54" t="s">
        <v>1419</v>
      </c>
      <c r="D669" s="54" t="s">
        <v>251</v>
      </c>
      <c r="E669" s="66">
        <f t="shared" si="174"/>
        <v>120</v>
      </c>
      <c r="F669" s="13">
        <f t="shared" si="175"/>
        <v>120</v>
      </c>
      <c r="G669" s="67">
        <f t="shared" si="176"/>
        <v>0</v>
      </c>
      <c r="H669" s="64">
        <f t="shared" si="172"/>
        <v>32</v>
      </c>
      <c r="I669" s="80">
        <v>0</v>
      </c>
      <c r="J669" s="80">
        <v>0</v>
      </c>
      <c r="K669" s="59">
        <f t="shared" si="177"/>
        <v>0</v>
      </c>
      <c r="L669" s="59">
        <v>0</v>
      </c>
      <c r="M669" s="59">
        <v>32</v>
      </c>
      <c r="N669" s="59">
        <f t="shared" si="178"/>
        <v>32</v>
      </c>
      <c r="O669" s="15">
        <f t="shared" si="179"/>
        <v>0</v>
      </c>
      <c r="P669" s="87">
        <f t="shared" si="180"/>
        <v>88</v>
      </c>
      <c r="Q669" s="110">
        <v>0</v>
      </c>
      <c r="R669" s="59">
        <v>88</v>
      </c>
      <c r="S669" s="14">
        <v>0</v>
      </c>
      <c r="T669" s="59">
        <v>0</v>
      </c>
      <c r="U669" s="15">
        <f t="shared" si="173"/>
        <v>0</v>
      </c>
      <c r="V669" s="14">
        <v>0</v>
      </c>
      <c r="W669" s="15">
        <f t="shared" si="181"/>
        <v>0</v>
      </c>
      <c r="X669" s="14">
        <v>0</v>
      </c>
      <c r="Y669" s="75">
        <v>0</v>
      </c>
      <c r="Z669" s="87">
        <f t="shared" si="182"/>
        <v>0</v>
      </c>
      <c r="AA669" s="14">
        <f t="shared" si="183"/>
        <v>0</v>
      </c>
      <c r="AB669" s="75">
        <v>0</v>
      </c>
      <c r="AC669" s="75">
        <v>0</v>
      </c>
      <c r="AD669" s="59">
        <f t="shared" si="184"/>
        <v>0</v>
      </c>
      <c r="AE669" s="73">
        <v>0</v>
      </c>
      <c r="AF669" s="73">
        <v>0</v>
      </c>
      <c r="AG669" s="15">
        <f t="shared" si="185"/>
        <v>0</v>
      </c>
      <c r="AH669" s="16">
        <f t="shared" si="186"/>
        <v>0</v>
      </c>
      <c r="AI669" s="17">
        <f t="shared" si="187"/>
        <v>120</v>
      </c>
      <c r="AJ669" s="12">
        <f>VLOOKUP(A669,'PreK Proxy - Sept. 2024'!$A$2:$I$674,9,FALSE)</f>
        <v>257</v>
      </c>
      <c r="AK669" s="18">
        <f t="shared" si="188"/>
        <v>0.46692607003891051</v>
      </c>
    </row>
    <row r="670" spans="1:37" x14ac:dyDescent="0.35">
      <c r="A670" s="11" t="s">
        <v>1344</v>
      </c>
      <c r="B670" s="12" t="s">
        <v>1345</v>
      </c>
      <c r="C670" s="54" t="s">
        <v>1388</v>
      </c>
      <c r="D670" s="54" t="s">
        <v>379</v>
      </c>
      <c r="E670" s="66">
        <f t="shared" si="174"/>
        <v>36</v>
      </c>
      <c r="F670" s="13">
        <f t="shared" si="175"/>
        <v>0</v>
      </c>
      <c r="G670" s="67">
        <f t="shared" si="176"/>
        <v>36</v>
      </c>
      <c r="H670" s="64">
        <f t="shared" si="172"/>
        <v>36</v>
      </c>
      <c r="I670" s="80">
        <v>0</v>
      </c>
      <c r="J670" s="80">
        <v>36</v>
      </c>
      <c r="K670" s="59">
        <f t="shared" si="177"/>
        <v>36</v>
      </c>
      <c r="L670" s="59">
        <v>0</v>
      </c>
      <c r="M670" s="59">
        <v>0</v>
      </c>
      <c r="N670" s="59">
        <f t="shared" si="178"/>
        <v>0</v>
      </c>
      <c r="O670" s="15">
        <f t="shared" si="179"/>
        <v>0</v>
      </c>
      <c r="P670" s="87">
        <f t="shared" si="180"/>
        <v>0</v>
      </c>
      <c r="Q670" s="110">
        <v>0</v>
      </c>
      <c r="R670" s="59">
        <v>0</v>
      </c>
      <c r="S670" s="14">
        <v>0</v>
      </c>
      <c r="T670" s="59">
        <v>0</v>
      </c>
      <c r="U670" s="15">
        <f t="shared" si="173"/>
        <v>0</v>
      </c>
      <c r="V670" s="14">
        <v>0</v>
      </c>
      <c r="W670" s="15">
        <f t="shared" si="181"/>
        <v>0</v>
      </c>
      <c r="X670" s="14">
        <v>0</v>
      </c>
      <c r="Y670" s="75">
        <v>0</v>
      </c>
      <c r="Z670" s="87">
        <f t="shared" si="182"/>
        <v>0</v>
      </c>
      <c r="AA670" s="14">
        <f t="shared" si="183"/>
        <v>0</v>
      </c>
      <c r="AB670" s="75">
        <v>0</v>
      </c>
      <c r="AC670" s="75">
        <v>0</v>
      </c>
      <c r="AD670" s="59">
        <f t="shared" si="184"/>
        <v>0</v>
      </c>
      <c r="AE670" s="73">
        <v>0</v>
      </c>
      <c r="AF670" s="73">
        <v>0</v>
      </c>
      <c r="AG670" s="15">
        <f t="shared" si="185"/>
        <v>0</v>
      </c>
      <c r="AH670" s="16">
        <f t="shared" si="186"/>
        <v>36</v>
      </c>
      <c r="AI670" s="17">
        <f t="shared" si="187"/>
        <v>0</v>
      </c>
      <c r="AJ670" s="12">
        <f>VLOOKUP(A670,'PreK Proxy - Sept. 2024'!$A$2:$I$674,9,FALSE)</f>
        <v>64</v>
      </c>
      <c r="AK670" s="18">
        <f t="shared" si="188"/>
        <v>0.5625</v>
      </c>
    </row>
    <row r="671" spans="1:37" x14ac:dyDescent="0.35">
      <c r="A671" s="11" t="s">
        <v>1346</v>
      </c>
      <c r="B671" s="12" t="s">
        <v>1347</v>
      </c>
      <c r="C671" s="54" t="s">
        <v>1388</v>
      </c>
      <c r="D671" s="54" t="s">
        <v>379</v>
      </c>
      <c r="E671" s="66">
        <f t="shared" si="174"/>
        <v>38</v>
      </c>
      <c r="F671" s="13">
        <f t="shared" si="175"/>
        <v>38</v>
      </c>
      <c r="G671" s="67">
        <f t="shared" si="176"/>
        <v>0</v>
      </c>
      <c r="H671" s="64">
        <f t="shared" si="172"/>
        <v>38</v>
      </c>
      <c r="I671" s="80">
        <v>0</v>
      </c>
      <c r="J671" s="80">
        <v>0</v>
      </c>
      <c r="K671" s="59">
        <f t="shared" si="177"/>
        <v>0</v>
      </c>
      <c r="L671" s="59">
        <v>0</v>
      </c>
      <c r="M671" s="59">
        <v>38</v>
      </c>
      <c r="N671" s="59">
        <f t="shared" si="178"/>
        <v>38</v>
      </c>
      <c r="O671" s="15">
        <f t="shared" si="179"/>
        <v>0</v>
      </c>
      <c r="P671" s="87">
        <f t="shared" si="180"/>
        <v>0</v>
      </c>
      <c r="Q671" s="110">
        <v>0</v>
      </c>
      <c r="R671" s="59">
        <v>0</v>
      </c>
      <c r="S671" s="14">
        <v>0</v>
      </c>
      <c r="T671" s="59">
        <v>0</v>
      </c>
      <c r="U671" s="15">
        <f t="shared" si="173"/>
        <v>0</v>
      </c>
      <c r="V671" s="14">
        <v>0</v>
      </c>
      <c r="W671" s="15">
        <f t="shared" si="181"/>
        <v>0</v>
      </c>
      <c r="X671" s="14">
        <v>0</v>
      </c>
      <c r="Y671" s="75">
        <v>0</v>
      </c>
      <c r="Z671" s="87">
        <f t="shared" si="182"/>
        <v>0</v>
      </c>
      <c r="AA671" s="14">
        <f t="shared" si="183"/>
        <v>0</v>
      </c>
      <c r="AB671" s="75">
        <v>0</v>
      </c>
      <c r="AC671" s="75">
        <v>0</v>
      </c>
      <c r="AD671" s="59">
        <f t="shared" si="184"/>
        <v>0</v>
      </c>
      <c r="AE671" s="73">
        <v>0</v>
      </c>
      <c r="AF671" s="73">
        <v>0</v>
      </c>
      <c r="AG671" s="15">
        <f t="shared" si="185"/>
        <v>0</v>
      </c>
      <c r="AH671" s="16">
        <f t="shared" si="186"/>
        <v>0</v>
      </c>
      <c r="AI671" s="17">
        <f t="shared" si="187"/>
        <v>38</v>
      </c>
      <c r="AJ671" s="12">
        <f>VLOOKUP(A671,'PreK Proxy - Sept. 2024'!$A$2:$I$674,9,FALSE)</f>
        <v>45</v>
      </c>
      <c r="AK671" s="18">
        <f t="shared" si="188"/>
        <v>0.84444444444444444</v>
      </c>
    </row>
    <row r="672" spans="1:37" x14ac:dyDescent="0.35">
      <c r="A672" s="11" t="s">
        <v>1348</v>
      </c>
      <c r="B672" s="12" t="s">
        <v>1349</v>
      </c>
      <c r="C672" s="54" t="s">
        <v>1388</v>
      </c>
      <c r="D672" s="54" t="s">
        <v>379</v>
      </c>
      <c r="E672" s="66">
        <f t="shared" si="174"/>
        <v>14</v>
      </c>
      <c r="F672" s="13">
        <f t="shared" si="175"/>
        <v>14</v>
      </c>
      <c r="G672" s="67">
        <f t="shared" si="176"/>
        <v>0</v>
      </c>
      <c r="H672" s="64">
        <f t="shared" si="172"/>
        <v>0</v>
      </c>
      <c r="I672" s="80">
        <v>0</v>
      </c>
      <c r="J672" s="80">
        <v>0</v>
      </c>
      <c r="K672" s="59">
        <f t="shared" si="177"/>
        <v>0</v>
      </c>
      <c r="L672" s="59">
        <v>0</v>
      </c>
      <c r="M672" s="59">
        <v>0</v>
      </c>
      <c r="N672" s="59">
        <f t="shared" si="178"/>
        <v>0</v>
      </c>
      <c r="O672" s="15">
        <f t="shared" si="179"/>
        <v>0</v>
      </c>
      <c r="P672" s="87">
        <f t="shared" si="180"/>
        <v>0</v>
      </c>
      <c r="Q672" s="110">
        <v>0</v>
      </c>
      <c r="R672" s="59">
        <v>0</v>
      </c>
      <c r="S672" s="14">
        <v>0</v>
      </c>
      <c r="T672" s="59">
        <v>0</v>
      </c>
      <c r="U672" s="15">
        <f t="shared" si="173"/>
        <v>0</v>
      </c>
      <c r="V672" s="14">
        <v>0</v>
      </c>
      <c r="W672" s="15">
        <f t="shared" si="181"/>
        <v>0</v>
      </c>
      <c r="X672" s="14">
        <v>14</v>
      </c>
      <c r="Y672" s="75">
        <v>0</v>
      </c>
      <c r="Z672" s="87">
        <f t="shared" si="182"/>
        <v>14</v>
      </c>
      <c r="AA672" s="14">
        <f t="shared" si="183"/>
        <v>0</v>
      </c>
      <c r="AB672" s="75">
        <v>0</v>
      </c>
      <c r="AC672" s="75">
        <v>0</v>
      </c>
      <c r="AD672" s="59">
        <f t="shared" si="184"/>
        <v>0</v>
      </c>
      <c r="AE672" s="73">
        <v>0</v>
      </c>
      <c r="AF672" s="73">
        <v>0</v>
      </c>
      <c r="AG672" s="15">
        <f t="shared" si="185"/>
        <v>0</v>
      </c>
      <c r="AH672" s="16">
        <f t="shared" si="186"/>
        <v>0</v>
      </c>
      <c r="AI672" s="17">
        <f t="shared" si="187"/>
        <v>14</v>
      </c>
      <c r="AJ672" s="12">
        <f>VLOOKUP(A672,'PreK Proxy - Sept. 2024'!$A$2:$I$674,9,FALSE)</f>
        <v>11</v>
      </c>
      <c r="AK672" s="18">
        <f t="shared" si="188"/>
        <v>1</v>
      </c>
    </row>
    <row r="673" spans="1:37" x14ac:dyDescent="0.35">
      <c r="A673" s="11" t="s">
        <v>1350</v>
      </c>
      <c r="B673" s="12" t="s">
        <v>1351</v>
      </c>
      <c r="C673" s="54" t="s">
        <v>1388</v>
      </c>
      <c r="D673" s="54" t="s">
        <v>379</v>
      </c>
      <c r="E673" s="66">
        <f t="shared" si="174"/>
        <v>45</v>
      </c>
      <c r="F673" s="13">
        <f t="shared" si="175"/>
        <v>45</v>
      </c>
      <c r="G673" s="67">
        <f t="shared" si="176"/>
        <v>0</v>
      </c>
      <c r="H673" s="64">
        <f t="shared" si="172"/>
        <v>45</v>
      </c>
      <c r="I673" s="80">
        <v>0</v>
      </c>
      <c r="J673" s="80">
        <v>0</v>
      </c>
      <c r="K673" s="59">
        <f t="shared" si="177"/>
        <v>0</v>
      </c>
      <c r="L673" s="59">
        <v>0</v>
      </c>
      <c r="M673" s="59">
        <v>45</v>
      </c>
      <c r="N673" s="59">
        <f t="shared" si="178"/>
        <v>45</v>
      </c>
      <c r="O673" s="15">
        <f t="shared" si="179"/>
        <v>0</v>
      </c>
      <c r="P673" s="87">
        <f t="shared" si="180"/>
        <v>0</v>
      </c>
      <c r="Q673" s="110">
        <v>0</v>
      </c>
      <c r="R673" s="59">
        <v>0</v>
      </c>
      <c r="S673" s="14">
        <v>0</v>
      </c>
      <c r="T673" s="59">
        <v>0</v>
      </c>
      <c r="U673" s="15">
        <f t="shared" si="173"/>
        <v>0</v>
      </c>
      <c r="V673" s="14">
        <v>0</v>
      </c>
      <c r="W673" s="15">
        <f t="shared" si="181"/>
        <v>0</v>
      </c>
      <c r="X673" s="14">
        <v>0</v>
      </c>
      <c r="Y673" s="75">
        <v>0</v>
      </c>
      <c r="Z673" s="87">
        <f t="shared" si="182"/>
        <v>0</v>
      </c>
      <c r="AA673" s="14">
        <f t="shared" si="183"/>
        <v>0</v>
      </c>
      <c r="AB673" s="75">
        <v>0</v>
      </c>
      <c r="AC673" s="75">
        <v>0</v>
      </c>
      <c r="AD673" s="59">
        <f t="shared" si="184"/>
        <v>0</v>
      </c>
      <c r="AE673" s="73">
        <v>0</v>
      </c>
      <c r="AF673" s="73">
        <v>0</v>
      </c>
      <c r="AG673" s="15">
        <f t="shared" si="185"/>
        <v>0</v>
      </c>
      <c r="AH673" s="16">
        <f t="shared" si="186"/>
        <v>0</v>
      </c>
      <c r="AI673" s="17">
        <f t="shared" si="187"/>
        <v>45</v>
      </c>
      <c r="AJ673" s="12">
        <f>VLOOKUP(A673,'PreK Proxy - Sept. 2024'!$A$2:$I$674,9,FALSE)</f>
        <v>45</v>
      </c>
      <c r="AK673" s="18">
        <f t="shared" si="188"/>
        <v>1</v>
      </c>
    </row>
    <row r="674" spans="1:37" x14ac:dyDescent="0.35">
      <c r="A674" s="11" t="s">
        <v>1352</v>
      </c>
      <c r="B674" s="12" t="s">
        <v>1353</v>
      </c>
      <c r="C674" s="54" t="s">
        <v>1388</v>
      </c>
      <c r="D674" s="54" t="s">
        <v>379</v>
      </c>
      <c r="E674" s="66">
        <f t="shared" si="174"/>
        <v>47</v>
      </c>
      <c r="F674" s="13">
        <f t="shared" si="175"/>
        <v>47</v>
      </c>
      <c r="G674" s="67">
        <f t="shared" si="176"/>
        <v>0</v>
      </c>
      <c r="H674" s="64">
        <f t="shared" si="172"/>
        <v>9</v>
      </c>
      <c r="I674" s="80">
        <v>0</v>
      </c>
      <c r="J674" s="80">
        <v>0</v>
      </c>
      <c r="K674" s="59">
        <f t="shared" si="177"/>
        <v>0</v>
      </c>
      <c r="L674" s="59">
        <v>0</v>
      </c>
      <c r="M674" s="59">
        <v>9</v>
      </c>
      <c r="N674" s="59">
        <f t="shared" si="178"/>
        <v>9</v>
      </c>
      <c r="O674" s="15">
        <f t="shared" si="179"/>
        <v>0</v>
      </c>
      <c r="P674" s="87">
        <f t="shared" si="180"/>
        <v>0</v>
      </c>
      <c r="Q674" s="110">
        <v>0</v>
      </c>
      <c r="R674" s="59">
        <v>0</v>
      </c>
      <c r="S674" s="14">
        <v>0</v>
      </c>
      <c r="T674" s="59">
        <v>0</v>
      </c>
      <c r="U674" s="15">
        <f t="shared" si="173"/>
        <v>0</v>
      </c>
      <c r="V674" s="14">
        <v>38</v>
      </c>
      <c r="W674" s="15">
        <f t="shared" si="181"/>
        <v>38</v>
      </c>
      <c r="X674" s="14">
        <v>0</v>
      </c>
      <c r="Y674" s="75">
        <v>0</v>
      </c>
      <c r="Z674" s="87">
        <f t="shared" si="182"/>
        <v>0</v>
      </c>
      <c r="AA674" s="14">
        <f t="shared" si="183"/>
        <v>0</v>
      </c>
      <c r="AB674" s="75">
        <v>0</v>
      </c>
      <c r="AC674" s="75">
        <v>0</v>
      </c>
      <c r="AD674" s="59">
        <f t="shared" si="184"/>
        <v>0</v>
      </c>
      <c r="AE674" s="73">
        <v>0</v>
      </c>
      <c r="AF674" s="73">
        <v>0</v>
      </c>
      <c r="AG674" s="15">
        <f t="shared" si="185"/>
        <v>0</v>
      </c>
      <c r="AH674" s="16">
        <f t="shared" si="186"/>
        <v>0</v>
      </c>
      <c r="AI674" s="17">
        <f t="shared" si="187"/>
        <v>47</v>
      </c>
      <c r="AJ674" s="12">
        <f>VLOOKUP(A674,'PreK Proxy - Sept. 2024'!$A$2:$I$674,9,FALSE)</f>
        <v>17</v>
      </c>
      <c r="AK674" s="18">
        <f t="shared" si="188"/>
        <v>1</v>
      </c>
    </row>
    <row r="675" spans="1:37" x14ac:dyDescent="0.35">
      <c r="A675" s="11" t="s">
        <v>1354</v>
      </c>
      <c r="B675" s="12" t="s">
        <v>1355</v>
      </c>
      <c r="C675" s="54" t="s">
        <v>1452</v>
      </c>
      <c r="D675" s="54" t="s">
        <v>379</v>
      </c>
      <c r="E675" s="66">
        <f t="shared" si="174"/>
        <v>97</v>
      </c>
      <c r="F675" s="13">
        <f t="shared" si="175"/>
        <v>97</v>
      </c>
      <c r="G675" s="67">
        <f t="shared" si="176"/>
        <v>0</v>
      </c>
      <c r="H675" s="64">
        <f t="shared" si="172"/>
        <v>97</v>
      </c>
      <c r="I675" s="80">
        <v>0</v>
      </c>
      <c r="J675" s="80">
        <v>0</v>
      </c>
      <c r="K675" s="59">
        <f t="shared" si="177"/>
        <v>0</v>
      </c>
      <c r="L675" s="59">
        <v>39</v>
      </c>
      <c r="M675" s="59">
        <v>58</v>
      </c>
      <c r="N675" s="59">
        <f t="shared" si="178"/>
        <v>97</v>
      </c>
      <c r="O675" s="15">
        <f t="shared" si="179"/>
        <v>0</v>
      </c>
      <c r="P675" s="87">
        <f t="shared" si="180"/>
        <v>0</v>
      </c>
      <c r="Q675" s="110">
        <v>0</v>
      </c>
      <c r="R675" s="59">
        <v>0</v>
      </c>
      <c r="S675" s="14">
        <v>0</v>
      </c>
      <c r="T675" s="59">
        <v>0</v>
      </c>
      <c r="U675" s="15">
        <f t="shared" si="173"/>
        <v>0</v>
      </c>
      <c r="V675" s="14">
        <v>0</v>
      </c>
      <c r="W675" s="15">
        <f t="shared" si="181"/>
        <v>0</v>
      </c>
      <c r="X675" s="14">
        <v>0</v>
      </c>
      <c r="Y675" s="75">
        <v>0</v>
      </c>
      <c r="Z675" s="87">
        <f t="shared" si="182"/>
        <v>0</v>
      </c>
      <c r="AA675" s="14">
        <f t="shared" si="183"/>
        <v>0</v>
      </c>
      <c r="AB675" s="75">
        <v>0</v>
      </c>
      <c r="AC675" s="75">
        <v>0</v>
      </c>
      <c r="AD675" s="59">
        <f t="shared" si="184"/>
        <v>0</v>
      </c>
      <c r="AE675" s="73">
        <v>0</v>
      </c>
      <c r="AF675" s="73">
        <v>0</v>
      </c>
      <c r="AG675" s="15">
        <f t="shared" si="185"/>
        <v>0</v>
      </c>
      <c r="AH675" s="16">
        <f t="shared" si="186"/>
        <v>0</v>
      </c>
      <c r="AI675" s="17">
        <f t="shared" si="187"/>
        <v>58</v>
      </c>
      <c r="AJ675" s="12">
        <f>VLOOKUP(A675,'PreK Proxy - Sept. 2024'!$A$2:$I$674,9,FALSE)</f>
        <v>81</v>
      </c>
      <c r="AK675" s="18">
        <f t="shared" si="188"/>
        <v>0.71604938271604934</v>
      </c>
    </row>
    <row r="676" spans="1:37" ht="15" thickBot="1" x14ac:dyDescent="0.4">
      <c r="A676" s="19" t="s">
        <v>1356</v>
      </c>
      <c r="B676" s="20" t="s">
        <v>1357</v>
      </c>
      <c r="C676" s="85" t="s">
        <v>1452</v>
      </c>
      <c r="D676" s="54" t="s">
        <v>379</v>
      </c>
      <c r="E676" s="68">
        <f t="shared" si="174"/>
        <v>46</v>
      </c>
      <c r="F676" s="71">
        <f>N676+R676+S676+V676+X676+AG676</f>
        <v>35</v>
      </c>
      <c r="G676" s="72">
        <f>K676+Q676+AD676</f>
        <v>11</v>
      </c>
      <c r="H676" s="65">
        <f t="shared" si="172"/>
        <v>46</v>
      </c>
      <c r="I676" s="84">
        <v>11</v>
      </c>
      <c r="J676" s="81">
        <v>0</v>
      </c>
      <c r="K676" s="62">
        <f t="shared" si="177"/>
        <v>11</v>
      </c>
      <c r="L676" s="62">
        <v>0</v>
      </c>
      <c r="M676" s="62">
        <v>35</v>
      </c>
      <c r="N676" s="62">
        <f t="shared" si="178"/>
        <v>35</v>
      </c>
      <c r="O676" s="63">
        <f t="shared" si="179"/>
        <v>0</v>
      </c>
      <c r="P676" s="88">
        <f t="shared" si="180"/>
        <v>0</v>
      </c>
      <c r="Q676" s="84">
        <v>0</v>
      </c>
      <c r="R676" s="63">
        <v>0</v>
      </c>
      <c r="S676" s="61">
        <v>0</v>
      </c>
      <c r="T676" s="62">
        <v>0</v>
      </c>
      <c r="U676" s="63">
        <f t="shared" si="173"/>
        <v>0</v>
      </c>
      <c r="V676" s="61">
        <v>0</v>
      </c>
      <c r="W676" s="63">
        <f t="shared" si="181"/>
        <v>0</v>
      </c>
      <c r="X676" s="61">
        <v>0</v>
      </c>
      <c r="Y676" s="76">
        <v>0</v>
      </c>
      <c r="Z676" s="88">
        <f t="shared" si="182"/>
        <v>0</v>
      </c>
      <c r="AA676" s="61">
        <f t="shared" si="183"/>
        <v>0</v>
      </c>
      <c r="AB676" s="76">
        <v>0</v>
      </c>
      <c r="AC676" s="76">
        <v>0</v>
      </c>
      <c r="AD676" s="62">
        <f t="shared" si="184"/>
        <v>0</v>
      </c>
      <c r="AE676" s="74">
        <v>0</v>
      </c>
      <c r="AF676" s="74">
        <v>0</v>
      </c>
      <c r="AG676" s="63">
        <f t="shared" si="185"/>
        <v>0</v>
      </c>
      <c r="AH676" s="16">
        <f>J676+Q676+AC676</f>
        <v>0</v>
      </c>
      <c r="AI676" s="17">
        <f>M676+R676+S676+V676+X676+AF676</f>
        <v>35</v>
      </c>
      <c r="AJ676" s="12">
        <f>VLOOKUP(A676,'PreK Proxy - Sept. 2024'!$A$2:$I$674,9,FALSE)</f>
        <v>32</v>
      </c>
      <c r="AK676" s="18">
        <f t="shared" si="188"/>
        <v>1</v>
      </c>
    </row>
    <row r="677" spans="1:37" ht="17" x14ac:dyDescent="0.4">
      <c r="A677" s="11" t="s">
        <v>1358</v>
      </c>
      <c r="B677" s="38" t="s">
        <v>1358</v>
      </c>
      <c r="C677" s="39"/>
      <c r="D677" s="39"/>
      <c r="E677" s="55">
        <f>SUM(E4:E676)</f>
        <v>158956</v>
      </c>
      <c r="F677" s="55">
        <f>SUM(F4:F676)</f>
        <v>149223</v>
      </c>
      <c r="G677" s="55">
        <f>SUM(G4:G676)</f>
        <v>9733</v>
      </c>
      <c r="H677" s="56">
        <f>K677+N677</f>
        <v>143891</v>
      </c>
      <c r="I677" s="57">
        <f t="shared" ref="I677:AG677" si="189">SUM(I4:I676)</f>
        <v>771</v>
      </c>
      <c r="J677" s="57">
        <f t="shared" si="189"/>
        <v>8817</v>
      </c>
      <c r="K677" s="57">
        <f t="shared" si="189"/>
        <v>9588</v>
      </c>
      <c r="L677" s="57">
        <f t="shared" si="189"/>
        <v>39127</v>
      </c>
      <c r="M677" s="57">
        <f t="shared" si="189"/>
        <v>95176</v>
      </c>
      <c r="N677" s="57">
        <f t="shared" si="189"/>
        <v>134303</v>
      </c>
      <c r="O677" s="58">
        <f t="shared" si="189"/>
        <v>55451</v>
      </c>
      <c r="P677" s="109">
        <f>SUM(P4:P676)</f>
        <v>8782</v>
      </c>
      <c r="Q677" s="111">
        <f>SUM(Q4:Q676)</f>
        <v>55</v>
      </c>
      <c r="R677" s="57">
        <f>SUM(R4:R676)</f>
        <v>8727</v>
      </c>
      <c r="S677" s="57">
        <f t="shared" si="189"/>
        <v>3806</v>
      </c>
      <c r="T677" s="57">
        <f t="shared" si="189"/>
        <v>54737</v>
      </c>
      <c r="U677" s="57">
        <f t="shared" si="189"/>
        <v>58543</v>
      </c>
      <c r="V677" s="57">
        <f t="shared" ref="V677:Z677" si="190">SUM(V4:V676)</f>
        <v>735</v>
      </c>
      <c r="W677" s="57">
        <f t="shared" si="190"/>
        <v>735</v>
      </c>
      <c r="X677" s="57">
        <f t="shared" si="190"/>
        <v>1530</v>
      </c>
      <c r="Y677" s="57">
        <f t="shared" si="190"/>
        <v>714</v>
      </c>
      <c r="Z677" s="57">
        <f t="shared" si="190"/>
        <v>2244</v>
      </c>
      <c r="AA677" s="57">
        <f t="shared" si="189"/>
        <v>212</v>
      </c>
      <c r="AB677" s="57">
        <f t="shared" si="189"/>
        <v>30</v>
      </c>
      <c r="AC677" s="57">
        <f t="shared" si="189"/>
        <v>60</v>
      </c>
      <c r="AD677" s="57">
        <f>SUM(AD4:AD676)</f>
        <v>90</v>
      </c>
      <c r="AE677" s="57">
        <f>SUM(AE4:AE676)</f>
        <v>59</v>
      </c>
      <c r="AF677" s="57">
        <f>SUM(AF4:AF676)</f>
        <v>63</v>
      </c>
      <c r="AG677" s="57">
        <f t="shared" si="189"/>
        <v>122</v>
      </c>
      <c r="AH677" s="53">
        <f t="shared" ref="AH677:AI677" si="191">SUM(AH4:AH676)</f>
        <v>8932</v>
      </c>
      <c r="AI677" s="41">
        <f t="shared" si="191"/>
        <v>110037</v>
      </c>
      <c r="AJ677" s="40">
        <f>SUM(AJ4:AJ676)</f>
        <v>158640</v>
      </c>
      <c r="AK677" s="42">
        <f>MIN(100%,((AI677+AH677)/AJ677))</f>
        <v>0.74993066061522951</v>
      </c>
    </row>
    <row r="678" spans="1:37" s="43" customFormat="1" x14ac:dyDescent="0.35">
      <c r="H678" s="44"/>
      <c r="I678" s="82"/>
      <c r="J678" s="82"/>
      <c r="Q678" s="83"/>
    </row>
    <row r="679" spans="1:37" x14ac:dyDescent="0.35">
      <c r="B679" s="45"/>
      <c r="C679" s="45"/>
      <c r="D679" s="45"/>
      <c r="H679"/>
      <c r="I679"/>
      <c r="J679"/>
      <c r="Q679"/>
    </row>
    <row r="680" spans="1:37" x14ac:dyDescent="0.35">
      <c r="A680" s="11"/>
      <c r="H680" s="1"/>
      <c r="I680" s="1"/>
      <c r="J680" s="1"/>
      <c r="Q680" s="1"/>
    </row>
    <row r="681" spans="1:37" x14ac:dyDescent="0.35">
      <c r="A681" s="11"/>
      <c r="H681" s="52"/>
      <c r="I681" s="52"/>
      <c r="J681" s="52"/>
      <c r="Q681" s="52"/>
    </row>
    <row r="682" spans="1:37" x14ac:dyDescent="0.35">
      <c r="A682" s="11"/>
      <c r="H682"/>
      <c r="I682"/>
      <c r="J682"/>
      <c r="Q682"/>
    </row>
    <row r="683" spans="1:37" x14ac:dyDescent="0.35">
      <c r="A683" s="11"/>
      <c r="H683"/>
      <c r="I683"/>
      <c r="J683"/>
      <c r="Q683"/>
    </row>
    <row r="684" spans="1:37" x14ac:dyDescent="0.35">
      <c r="A684" s="11"/>
      <c r="H684"/>
      <c r="I684"/>
      <c r="J684"/>
      <c r="Q684"/>
    </row>
    <row r="685" spans="1:37" x14ac:dyDescent="0.35">
      <c r="A685" s="11"/>
      <c r="H685"/>
      <c r="I685"/>
      <c r="J685"/>
      <c r="Q685"/>
    </row>
    <row r="686" spans="1:37" x14ac:dyDescent="0.35">
      <c r="A686" s="11"/>
      <c r="H686" s="52"/>
      <c r="I686" s="52"/>
      <c r="J686" s="52"/>
      <c r="Q686" s="52"/>
    </row>
    <row r="687" spans="1:37" x14ac:dyDescent="0.35">
      <c r="A687" s="11"/>
      <c r="H687"/>
      <c r="I687"/>
      <c r="J687"/>
      <c r="Q687"/>
    </row>
    <row r="688" spans="1:37" x14ac:dyDescent="0.35">
      <c r="A688" s="11"/>
      <c r="H688"/>
      <c r="I688"/>
      <c r="J688"/>
      <c r="Q688"/>
    </row>
    <row r="689" spans="1:17" x14ac:dyDescent="0.35">
      <c r="A689" s="11"/>
      <c r="H689"/>
      <c r="I689"/>
      <c r="J689"/>
      <c r="Q689"/>
    </row>
    <row r="690" spans="1:17" x14ac:dyDescent="0.35">
      <c r="A690" s="11"/>
      <c r="H690"/>
      <c r="I690"/>
      <c r="J690"/>
      <c r="Q690"/>
    </row>
    <row r="691" spans="1:17" x14ac:dyDescent="0.35">
      <c r="A691" s="11"/>
      <c r="H691" s="52"/>
      <c r="I691" s="52"/>
      <c r="J691" s="52"/>
      <c r="Q691" s="52"/>
    </row>
    <row r="692" spans="1:17" x14ac:dyDescent="0.35">
      <c r="A692" s="11"/>
      <c r="H692"/>
      <c r="I692"/>
      <c r="J692"/>
      <c r="Q692"/>
    </row>
    <row r="693" spans="1:17" x14ac:dyDescent="0.35">
      <c r="A693" s="11"/>
      <c r="H693"/>
      <c r="I693"/>
      <c r="J693"/>
      <c r="Q693"/>
    </row>
    <row r="694" spans="1:17" x14ac:dyDescent="0.35">
      <c r="A694" s="11"/>
      <c r="H694"/>
      <c r="I694"/>
      <c r="J694"/>
      <c r="Q694"/>
    </row>
    <row r="695" spans="1:17" x14ac:dyDescent="0.35">
      <c r="A695" s="11"/>
      <c r="H695" s="1"/>
      <c r="I695" s="1"/>
      <c r="J695" s="1"/>
      <c r="Q695" s="1"/>
    </row>
    <row r="696" spans="1:17" x14ac:dyDescent="0.35">
      <c r="A696" s="11"/>
      <c r="H696"/>
      <c r="I696"/>
      <c r="J696"/>
      <c r="Q696"/>
    </row>
    <row r="697" spans="1:17" x14ac:dyDescent="0.35">
      <c r="A697" s="11"/>
      <c r="H697"/>
      <c r="I697"/>
      <c r="J697"/>
      <c r="Q697"/>
    </row>
    <row r="698" spans="1:17" x14ac:dyDescent="0.35">
      <c r="A698" s="11"/>
      <c r="H698"/>
      <c r="I698"/>
      <c r="J698"/>
      <c r="Q698"/>
    </row>
    <row r="699" spans="1:17" x14ac:dyDescent="0.35">
      <c r="A699" s="11"/>
      <c r="H699"/>
      <c r="I699"/>
      <c r="J699"/>
      <c r="Q699"/>
    </row>
    <row r="700" spans="1:17" x14ac:dyDescent="0.35">
      <c r="A700" s="11"/>
      <c r="H700"/>
      <c r="I700"/>
      <c r="J700"/>
      <c r="Q700"/>
    </row>
    <row r="701" spans="1:17" x14ac:dyDescent="0.35">
      <c r="A701" s="11"/>
      <c r="H701"/>
      <c r="I701"/>
      <c r="J701"/>
      <c r="Q701"/>
    </row>
    <row r="702" spans="1:17" x14ac:dyDescent="0.35">
      <c r="A702" s="11"/>
      <c r="H702"/>
      <c r="I702"/>
      <c r="J702"/>
      <c r="Q702"/>
    </row>
    <row r="703" spans="1:17" x14ac:dyDescent="0.35">
      <c r="A703" s="11"/>
      <c r="H703"/>
      <c r="I703"/>
      <c r="J703"/>
      <c r="Q703"/>
    </row>
    <row r="704" spans="1:17" x14ac:dyDescent="0.35">
      <c r="A704" s="11"/>
      <c r="H704"/>
      <c r="I704"/>
      <c r="J704"/>
      <c r="Q704"/>
    </row>
    <row r="705" spans="1:17" x14ac:dyDescent="0.35">
      <c r="A705" s="11"/>
      <c r="H705"/>
      <c r="I705"/>
      <c r="J705"/>
      <c r="Q705"/>
    </row>
    <row r="706" spans="1:17" x14ac:dyDescent="0.35">
      <c r="A706" s="11"/>
      <c r="H706"/>
      <c r="I706"/>
      <c r="J706"/>
      <c r="Q706"/>
    </row>
    <row r="707" spans="1:17" x14ac:dyDescent="0.35">
      <c r="A707" s="11"/>
      <c r="H707"/>
      <c r="I707"/>
      <c r="J707"/>
      <c r="Q707"/>
    </row>
    <row r="708" spans="1:17" x14ac:dyDescent="0.35">
      <c r="A708" s="11"/>
      <c r="H708"/>
      <c r="I708"/>
      <c r="J708"/>
      <c r="Q708"/>
    </row>
    <row r="709" spans="1:17" x14ac:dyDescent="0.35">
      <c r="A709" s="11"/>
      <c r="H709"/>
      <c r="I709"/>
      <c r="J709"/>
      <c r="Q709"/>
    </row>
    <row r="710" spans="1:17" x14ac:dyDescent="0.35">
      <c r="A710" s="11"/>
      <c r="H710"/>
      <c r="I710"/>
      <c r="J710"/>
      <c r="Q710"/>
    </row>
    <row r="711" spans="1:17" x14ac:dyDescent="0.35">
      <c r="A711" s="11"/>
      <c r="H711"/>
      <c r="I711"/>
      <c r="J711"/>
      <c r="Q711"/>
    </row>
    <row r="712" spans="1:17" x14ac:dyDescent="0.35">
      <c r="A712" s="11"/>
      <c r="H712"/>
      <c r="I712"/>
      <c r="J712"/>
      <c r="Q712"/>
    </row>
    <row r="713" spans="1:17" x14ac:dyDescent="0.35">
      <c r="H713"/>
      <c r="I713"/>
      <c r="J713"/>
      <c r="Q713"/>
    </row>
    <row r="714" spans="1:17" x14ac:dyDescent="0.35">
      <c r="H714"/>
      <c r="I714"/>
      <c r="J714"/>
      <c r="Q714"/>
    </row>
    <row r="715" spans="1:17" x14ac:dyDescent="0.35">
      <c r="H715"/>
      <c r="I715"/>
      <c r="J715"/>
      <c r="Q715"/>
    </row>
    <row r="716" spans="1:17" x14ac:dyDescent="0.35">
      <c r="H716"/>
      <c r="I716"/>
      <c r="J716"/>
      <c r="Q716"/>
    </row>
    <row r="717" spans="1:17" x14ac:dyDescent="0.35">
      <c r="H717"/>
      <c r="I717"/>
      <c r="J717"/>
      <c r="Q717"/>
    </row>
    <row r="718" spans="1:17" x14ac:dyDescent="0.35">
      <c r="H718"/>
      <c r="I718"/>
      <c r="J718"/>
      <c r="Q718"/>
    </row>
    <row r="719" spans="1:17" x14ac:dyDescent="0.35">
      <c r="H719"/>
      <c r="I719"/>
      <c r="J719"/>
      <c r="Q719"/>
    </row>
    <row r="720" spans="1:17" x14ac:dyDescent="0.35">
      <c r="H720"/>
      <c r="I720"/>
      <c r="J720"/>
      <c r="Q720"/>
    </row>
    <row r="721" customFormat="1" x14ac:dyDescent="0.35"/>
    <row r="722" customFormat="1" x14ac:dyDescent="0.35"/>
  </sheetData>
  <autoFilter ref="A3:AK677" xr:uid="{221B17A1-2BDA-4DF0-9600-9FF6FD07E1E5}"/>
  <mergeCells count="4">
    <mergeCell ref="S2:U2"/>
    <mergeCell ref="AA2:AG2"/>
    <mergeCell ref="V2:W2"/>
    <mergeCell ref="X2:Z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"/>
  <sheetViews>
    <sheetView workbookViewId="0">
      <selection activeCell="A13" sqref="A13"/>
    </sheetView>
  </sheetViews>
  <sheetFormatPr defaultRowHeight="14.5" x14ac:dyDescent="0.35"/>
  <cols>
    <col min="1" max="1" width="16.26953125" bestFit="1" customWidth="1"/>
    <col min="2" max="2" width="10.81640625" bestFit="1" customWidth="1"/>
    <col min="3" max="3" width="13.1796875" bestFit="1" customWidth="1"/>
    <col min="4" max="4" width="12.26953125" bestFit="1" customWidth="1"/>
    <col min="5" max="5" width="11.26953125" customWidth="1"/>
    <col min="6" max="6" width="11.1796875" customWidth="1"/>
    <col min="7" max="7" width="13.453125" bestFit="1" customWidth="1"/>
    <col min="8" max="8" width="17.26953125" bestFit="1" customWidth="1"/>
    <col min="9" max="9" width="14.26953125" customWidth="1"/>
  </cols>
  <sheetData>
    <row r="1" spans="1:9" ht="27" customHeight="1" thickBot="1" x14ac:dyDescent="0.4">
      <c r="A1" s="22"/>
      <c r="B1" s="120" t="s">
        <v>1497</v>
      </c>
      <c r="C1" s="120"/>
      <c r="D1" s="120"/>
      <c r="E1" s="120" t="s">
        <v>1359</v>
      </c>
      <c r="F1" s="120"/>
      <c r="G1" s="120"/>
      <c r="H1" s="120"/>
      <c r="I1" s="121"/>
    </row>
    <row r="2" spans="1:9" ht="38.25" customHeight="1" thickBot="1" x14ac:dyDescent="0.4">
      <c r="A2" s="25" t="s">
        <v>3</v>
      </c>
      <c r="B2" s="26" t="s">
        <v>1360</v>
      </c>
      <c r="C2" s="26" t="s">
        <v>1361</v>
      </c>
      <c r="D2" s="26" t="s">
        <v>1362</v>
      </c>
      <c r="E2" s="26" t="s">
        <v>1389</v>
      </c>
      <c r="F2" s="26" t="s">
        <v>1363</v>
      </c>
      <c r="G2" s="26" t="s">
        <v>1364</v>
      </c>
      <c r="H2" s="26" t="s">
        <v>1503</v>
      </c>
      <c r="I2" s="27" t="s">
        <v>1365</v>
      </c>
    </row>
    <row r="3" spans="1:9" x14ac:dyDescent="0.35">
      <c r="A3" s="31" t="s">
        <v>18</v>
      </c>
      <c r="B3" s="32">
        <f>SUMIFS('2023-24 PreK Served'!$G:$G,'2023-24 PreK Served'!$D:$D,'PreK Regions 2023-24'!$A3)</f>
        <v>349</v>
      </c>
      <c r="C3" s="32">
        <f>SUMIFS('2023-24 PreK Served'!$F:$F,'2023-24 PreK Served'!$D:$D,'PreK Regions 2023-24'!$A3)</f>
        <v>4206</v>
      </c>
      <c r="D3" s="32">
        <f t="shared" ref="D3:D12" si="0">SUM(B3:C3)</f>
        <v>4555</v>
      </c>
      <c r="E3" s="32">
        <f>SUMIFS('2023-24 PreK Served'!$AH:$AH,'2023-24 PreK Served'!$D:$D,'PreK Regions 2023-24'!$A3)</f>
        <v>349</v>
      </c>
      <c r="F3" s="32">
        <f>SUMIFS('2023-24 PreK Served'!$AI:$AI,'2023-24 PreK Served'!$D:$D,'PreK Regions 2023-24'!$A3)</f>
        <v>3737</v>
      </c>
      <c r="G3" s="32">
        <f t="shared" ref="G3:G12" si="1">SUM(E3:F3)</f>
        <v>4086</v>
      </c>
      <c r="H3" s="32">
        <f>SUMIFS('2023-24 PreK Served'!$AJ:$AJ,'2023-24 PreK Served'!$D:$D,'PreK Regions 2023-24'!$A3)</f>
        <v>8066</v>
      </c>
      <c r="I3" s="33">
        <f>G3/H3</f>
        <v>0.50657079097446067</v>
      </c>
    </row>
    <row r="4" spans="1:9" x14ac:dyDescent="0.35">
      <c r="A4" s="23" t="s">
        <v>117</v>
      </c>
      <c r="B4" s="24">
        <f>SUMIFS('2023-24 PreK Served'!$G:$G,'2023-24 PreK Served'!$D:$D,'PreK Regions 2023-24'!$A4)</f>
        <v>872</v>
      </c>
      <c r="C4" s="24">
        <f>SUMIFS('2023-24 PreK Served'!$F:$F,'2023-24 PreK Served'!$D:$D,'PreK Regions 2023-24'!$A4)</f>
        <v>4527</v>
      </c>
      <c r="D4" s="24">
        <f t="shared" si="0"/>
        <v>5399</v>
      </c>
      <c r="E4" s="24">
        <f>SUMIFS('2023-24 PreK Served'!$AH:$AH,'2023-24 PreK Served'!$D:$D,'PreK Regions 2023-24'!$A4)</f>
        <v>659</v>
      </c>
      <c r="F4" s="24">
        <f>SUMIFS('2023-24 PreK Served'!$AI:$AI,'2023-24 PreK Served'!$D:$D,'PreK Regions 2023-24'!$A4)</f>
        <v>3870</v>
      </c>
      <c r="G4" s="24">
        <f t="shared" si="1"/>
        <v>4529</v>
      </c>
      <c r="H4" s="24">
        <f>SUMIFS('2023-24 PreK Served'!$AJ:$AJ,'2023-24 PreK Served'!$D:$D,'PreK Regions 2023-24'!$A4)</f>
        <v>6501</v>
      </c>
      <c r="I4" s="34">
        <f t="shared" ref="I4:I13" si="2">G4/H4</f>
        <v>0.69666205199200126</v>
      </c>
    </row>
    <row r="5" spans="1:9" x14ac:dyDescent="0.35">
      <c r="A5" s="23" t="s">
        <v>379</v>
      </c>
      <c r="B5" s="24">
        <f>SUMIFS('2023-24 PreK Served'!$G:$G,'2023-24 PreK Served'!$D:$D,'PreK Regions 2023-24'!$A5)</f>
        <v>1457</v>
      </c>
      <c r="C5" s="24">
        <f>SUMIFS('2023-24 PreK Served'!$F:$F,'2023-24 PreK Served'!$D:$D,'PreK Regions 2023-24'!$A5)</f>
        <v>6291</v>
      </c>
      <c r="D5" s="24">
        <f t="shared" si="0"/>
        <v>7748</v>
      </c>
      <c r="E5" s="24">
        <f>SUMIFS('2023-24 PreK Served'!$AH:$AH,'2023-24 PreK Served'!$D:$D,'PreK Regions 2023-24'!$A5)</f>
        <v>1166</v>
      </c>
      <c r="F5" s="24">
        <f>SUMIFS('2023-24 PreK Served'!$AI:$AI,'2023-24 PreK Served'!$D:$D,'PreK Regions 2023-24'!$A5)</f>
        <v>5087</v>
      </c>
      <c r="G5" s="24">
        <f t="shared" si="1"/>
        <v>6253</v>
      </c>
      <c r="H5" s="24">
        <f>SUMIFS('2023-24 PreK Served'!$AJ:$AJ,'2023-24 PreK Served'!$D:$D,'PreK Regions 2023-24'!$A5)</f>
        <v>9520</v>
      </c>
      <c r="I5" s="34">
        <f t="shared" si="2"/>
        <v>0.65682773109243697</v>
      </c>
    </row>
    <row r="6" spans="1:9" x14ac:dyDescent="0.35">
      <c r="A6" s="23" t="s">
        <v>251</v>
      </c>
      <c r="B6" s="24">
        <f>SUMIFS('2023-24 PreK Served'!$G:$G,'2023-24 PreK Served'!$D:$D,'PreK Regions 2023-24'!$A6)</f>
        <v>2007</v>
      </c>
      <c r="C6" s="24">
        <f>SUMIFS('2023-24 PreK Served'!$F:$F,'2023-24 PreK Served'!$D:$D,'PreK Regions 2023-24'!$A6)</f>
        <v>10653</v>
      </c>
      <c r="D6" s="24">
        <f t="shared" si="0"/>
        <v>12660</v>
      </c>
      <c r="E6" s="24">
        <f>SUMIFS('2023-24 PreK Served'!$AH:$AH,'2023-24 PreK Served'!$D:$D,'PreK Regions 2023-24'!$A6)</f>
        <v>1875</v>
      </c>
      <c r="F6" s="24">
        <f>SUMIFS('2023-24 PreK Served'!$AI:$AI,'2023-24 PreK Served'!$D:$D,'PreK Regions 2023-24'!$A6)</f>
        <v>10406</v>
      </c>
      <c r="G6" s="24">
        <f t="shared" si="1"/>
        <v>12281</v>
      </c>
      <c r="H6" s="24">
        <f>SUMIFS('2023-24 PreK Served'!$AJ:$AJ,'2023-24 PreK Served'!$D:$D,'PreK Regions 2023-24'!$A6)</f>
        <v>22775</v>
      </c>
      <c r="I6" s="34">
        <f t="shared" si="2"/>
        <v>0.53923161361141603</v>
      </c>
    </row>
    <row r="7" spans="1:9" x14ac:dyDescent="0.35">
      <c r="A7" s="23" t="s">
        <v>545</v>
      </c>
      <c r="B7" s="24">
        <f>SUMIFS('2023-24 PreK Served'!$G:$G,'2023-24 PreK Served'!$D:$D,'PreK Regions 2023-24'!$A7)</f>
        <v>1479</v>
      </c>
      <c r="C7" s="24">
        <f>SUMIFS('2023-24 PreK Served'!$F:$F,'2023-24 PreK Served'!$D:$D,'PreK Regions 2023-24'!$A7)</f>
        <v>13902</v>
      </c>
      <c r="D7" s="24">
        <f t="shared" si="0"/>
        <v>15381</v>
      </c>
      <c r="E7" s="24">
        <f>SUMIFS('2023-24 PreK Served'!$AH:$AH,'2023-24 PreK Served'!$D:$D,'PreK Regions 2023-24'!$A7)</f>
        <v>1472</v>
      </c>
      <c r="F7" s="24">
        <f>SUMIFS('2023-24 PreK Served'!$AI:$AI,'2023-24 PreK Served'!$D:$D,'PreK Regions 2023-24'!$A7)</f>
        <v>13851</v>
      </c>
      <c r="G7" s="24">
        <f t="shared" si="1"/>
        <v>15323</v>
      </c>
      <c r="H7" s="24">
        <f>SUMIFS('2023-24 PreK Served'!$AJ:$AJ,'2023-24 PreK Served'!$D:$D,'PreK Regions 2023-24'!$A7)</f>
        <v>24245</v>
      </c>
      <c r="I7" s="34">
        <f t="shared" si="2"/>
        <v>0.63200659929882452</v>
      </c>
    </row>
    <row r="8" spans="1:9" x14ac:dyDescent="0.35">
      <c r="A8" s="23" t="s">
        <v>366</v>
      </c>
      <c r="B8" s="24">
        <f>SUMIFS('2023-24 PreK Served'!$G:$G,'2023-24 PreK Served'!$D:$D,'PreK Regions 2023-24'!$A8)</f>
        <v>650</v>
      </c>
      <c r="C8" s="24">
        <f>SUMIFS('2023-24 PreK Served'!$F:$F,'2023-24 PreK Served'!$D:$D,'PreK Regions 2023-24'!$A8)</f>
        <v>2130</v>
      </c>
      <c r="D8" s="24">
        <f t="shared" si="0"/>
        <v>2780</v>
      </c>
      <c r="E8" s="24">
        <f>SUMIFS('2023-24 PreK Served'!$AH:$AH,'2023-24 PreK Served'!$D:$D,'PreK Regions 2023-24'!$A8)</f>
        <v>650</v>
      </c>
      <c r="F8" s="24">
        <f>SUMIFS('2023-24 PreK Served'!$AI:$AI,'2023-24 PreK Served'!$D:$D,'PreK Regions 2023-24'!$A8)</f>
        <v>1858</v>
      </c>
      <c r="G8" s="24">
        <f t="shared" si="1"/>
        <v>2508</v>
      </c>
      <c r="H8" s="24">
        <f>SUMIFS('2023-24 PreK Served'!$AJ:$AJ,'2023-24 PreK Served'!$D:$D,'PreK Regions 2023-24'!$A8)</f>
        <v>3858</v>
      </c>
      <c r="I8" s="34">
        <f t="shared" si="2"/>
        <v>0.65007776049766719</v>
      </c>
    </row>
    <row r="9" spans="1:9" x14ac:dyDescent="0.35">
      <c r="A9" s="23" t="s">
        <v>658</v>
      </c>
      <c r="B9" s="13">
        <f>SUMIFS('2023-24 PreK Served'!$G:$G,'2023-24 PreK Served'!$D:$D,'PreK Regions 2023-24'!$A9)</f>
        <v>668</v>
      </c>
      <c r="C9" s="24">
        <f>SUMIFS('2023-24 PreK Served'!$F:$F,'2023-24 PreK Served'!$D:$D,'PreK Regions 2023-24'!$A9)</f>
        <v>94556</v>
      </c>
      <c r="D9" s="24">
        <f t="shared" si="0"/>
        <v>95224</v>
      </c>
      <c r="E9" s="24">
        <f>SUMIFS('2023-24 PreK Served'!$AH:$AH,'2023-24 PreK Served'!$D:$D,'PreK Regions 2023-24'!$A9)</f>
        <v>668</v>
      </c>
      <c r="F9" s="24">
        <f>SUMIFS('2023-24 PreK Served'!$AI:$AI,'2023-24 PreK Served'!$D:$D,'PreK Regions 2023-24'!$A9)</f>
        <v>59295</v>
      </c>
      <c r="G9" s="24">
        <f t="shared" si="1"/>
        <v>59963</v>
      </c>
      <c r="H9" s="24">
        <f>SUMIFS('2023-24 PreK Served'!$AJ:$AJ,'2023-24 PreK Served'!$D:$D,'PreK Regions 2023-24'!$A9)</f>
        <v>63855</v>
      </c>
      <c r="I9" s="34">
        <f t="shared" si="2"/>
        <v>0.93904940881685073</v>
      </c>
    </row>
    <row r="10" spans="1:9" x14ac:dyDescent="0.35">
      <c r="A10" s="23" t="s">
        <v>190</v>
      </c>
      <c r="B10" s="24">
        <f>SUMIFS('2023-24 PreK Served'!$G:$G,'2023-24 PreK Served'!$D:$D,'PreK Regions 2023-24'!$A10)</f>
        <v>782</v>
      </c>
      <c r="C10" s="24">
        <f>SUMIFS('2023-24 PreK Served'!$F:$F,'2023-24 PreK Served'!$D:$D,'PreK Regions 2023-24'!$A10)</f>
        <v>1862</v>
      </c>
      <c r="D10" s="24">
        <f t="shared" si="0"/>
        <v>2644</v>
      </c>
      <c r="E10" s="24">
        <f>SUMIFS('2023-24 PreK Served'!$AH:$AH,'2023-24 PreK Served'!$D:$D,'PreK Regions 2023-24'!$A10)</f>
        <v>772</v>
      </c>
      <c r="F10" s="24">
        <f>SUMIFS('2023-24 PreK Served'!$AI:$AI,'2023-24 PreK Served'!$D:$D,'PreK Regions 2023-24'!$A10)</f>
        <v>1645</v>
      </c>
      <c r="G10" s="24">
        <f t="shared" si="1"/>
        <v>2417</v>
      </c>
      <c r="H10" s="24">
        <f>SUMIFS('2023-24 PreK Served'!$AJ:$AJ,'2023-24 PreK Served'!$D:$D,'PreK Regions 2023-24'!$A10)</f>
        <v>3571</v>
      </c>
      <c r="I10" s="34">
        <f t="shared" si="2"/>
        <v>0.67684122094651356</v>
      </c>
    </row>
    <row r="11" spans="1:9" x14ac:dyDescent="0.35">
      <c r="A11" s="23" t="s">
        <v>68</v>
      </c>
      <c r="B11" s="24">
        <f>SUMIFS('2023-24 PreK Served'!$G:$G,'2023-24 PreK Served'!$D:$D,'PreK Regions 2023-24'!$A11)</f>
        <v>435</v>
      </c>
      <c r="C11" s="24">
        <f>SUMIFS('2023-24 PreK Served'!$F:$F,'2023-24 PreK Served'!$D:$D,'PreK Regions 2023-24'!$A11)</f>
        <v>3432</v>
      </c>
      <c r="D11" s="24">
        <f t="shared" si="0"/>
        <v>3867</v>
      </c>
      <c r="E11" s="24">
        <f>SUMIFS('2023-24 PreK Served'!$AH:$AH,'2023-24 PreK Served'!$D:$D,'PreK Regions 2023-24'!$A11)</f>
        <v>346</v>
      </c>
      <c r="F11" s="24">
        <f>SUMIFS('2023-24 PreK Served'!$AI:$AI,'2023-24 PreK Served'!$D:$D,'PreK Regions 2023-24'!$A11)</f>
        <v>3088</v>
      </c>
      <c r="G11" s="24">
        <f t="shared" si="1"/>
        <v>3434</v>
      </c>
      <c r="H11" s="24">
        <f>SUMIFS('2023-24 PreK Served'!$AJ:$AJ,'2023-24 PreK Served'!$D:$D,'PreK Regions 2023-24'!$A11)</f>
        <v>4935</v>
      </c>
      <c r="I11" s="34">
        <f t="shared" si="2"/>
        <v>0.69584599797365754</v>
      </c>
    </row>
    <row r="12" spans="1:9" ht="15" thickBot="1" x14ac:dyDescent="0.4">
      <c r="A12" s="35" t="s">
        <v>43</v>
      </c>
      <c r="B12" s="36">
        <f>SUMIFS('2023-24 PreK Served'!$G:$G,'2023-24 PreK Served'!$D:$D,'PreK Regions 2023-24'!$A12)</f>
        <v>1034</v>
      </c>
      <c r="C12" s="36">
        <f>SUMIFS('2023-24 PreK Served'!$F:$F,'2023-24 PreK Served'!$D:$D,'PreK Regions 2023-24'!$A12)</f>
        <v>7664</v>
      </c>
      <c r="D12" s="36">
        <f t="shared" si="0"/>
        <v>8698</v>
      </c>
      <c r="E12" s="36">
        <f>SUMIFS('2023-24 PreK Served'!$AH:$AH,'2023-24 PreK Served'!$D:$D,'PreK Regions 2023-24'!$A12)</f>
        <v>975</v>
      </c>
      <c r="F12" s="36">
        <f>SUMIFS('2023-24 PreK Served'!$AI:$AI,'2023-24 PreK Served'!$D:$D,'PreK Regions 2023-24'!$A12)</f>
        <v>7200</v>
      </c>
      <c r="G12" s="36">
        <f t="shared" si="1"/>
        <v>8175</v>
      </c>
      <c r="H12" s="36">
        <f>SUMIFS('2023-24 PreK Served'!$AJ:$AJ,'2023-24 PreK Served'!$D:$D,'PreK Regions 2023-24'!$A12)</f>
        <v>11314</v>
      </c>
      <c r="I12" s="37">
        <f t="shared" si="2"/>
        <v>0.7225561251546756</v>
      </c>
    </row>
    <row r="13" spans="1:9" ht="19" thickBot="1" x14ac:dyDescent="0.5">
      <c r="A13" s="28" t="s">
        <v>1366</v>
      </c>
      <c r="B13" s="29">
        <f>SUM(B3:B12)</f>
        <v>9733</v>
      </c>
      <c r="C13" s="29">
        <f t="shared" ref="C13:H13" si="3">SUM(C3:C12)</f>
        <v>149223</v>
      </c>
      <c r="D13" s="29">
        <f t="shared" si="3"/>
        <v>158956</v>
      </c>
      <c r="E13" s="29">
        <f t="shared" si="3"/>
        <v>8932</v>
      </c>
      <c r="F13" s="29">
        <f t="shared" si="3"/>
        <v>110037</v>
      </c>
      <c r="G13" s="29">
        <f t="shared" si="3"/>
        <v>118969</v>
      </c>
      <c r="H13" s="29">
        <f t="shared" si="3"/>
        <v>158640</v>
      </c>
      <c r="I13" s="30">
        <f t="shared" si="2"/>
        <v>0.74993066061522951</v>
      </c>
    </row>
  </sheetData>
  <mergeCells count="2">
    <mergeCell ref="B1:D1"/>
    <mergeCell ref="E1:I1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6C5D8-1D4C-4704-8DDC-87F5CF00C930}">
  <dimension ref="A1:I20"/>
  <sheetViews>
    <sheetView zoomScaleNormal="100" workbookViewId="0"/>
  </sheetViews>
  <sheetFormatPr defaultRowHeight="12.5" x14ac:dyDescent="0.25"/>
  <cols>
    <col min="1" max="1" width="26.1796875" style="86" bestFit="1" customWidth="1"/>
    <col min="2" max="2" width="10.1796875" style="86" bestFit="1" customWidth="1"/>
    <col min="3" max="3" width="9.7265625" style="86" bestFit="1" customWidth="1"/>
    <col min="4" max="4" width="24.54296875" style="86" bestFit="1" customWidth="1"/>
    <col min="5" max="5" width="9.7265625" style="86" bestFit="1" customWidth="1"/>
    <col min="6" max="6" width="8.7265625" style="86"/>
    <col min="7" max="8" width="10.08984375" style="86" bestFit="1" customWidth="1"/>
    <col min="9" max="9" width="9.6328125" style="86" bestFit="1" customWidth="1"/>
    <col min="10" max="10" width="10.08984375" style="86" bestFit="1" customWidth="1"/>
    <col min="11" max="11" width="9.6328125" style="86" bestFit="1" customWidth="1"/>
    <col min="12" max="16384" width="8.7265625" style="86"/>
  </cols>
  <sheetData>
    <row r="1" spans="1:9" ht="29" x14ac:dyDescent="0.35">
      <c r="A1" s="102" t="s">
        <v>1485</v>
      </c>
      <c r="B1" s="116" t="s">
        <v>1473</v>
      </c>
      <c r="C1" s="96"/>
      <c r="D1" s="101" t="s">
        <v>2061</v>
      </c>
      <c r="E1" s="114" t="s">
        <v>1471</v>
      </c>
      <c r="F1" s="114" t="s">
        <v>1472</v>
      </c>
      <c r="G1" s="114" t="s">
        <v>2059</v>
      </c>
      <c r="H1" s="114" t="s">
        <v>2060</v>
      </c>
      <c r="I1" s="115" t="s">
        <v>1496</v>
      </c>
    </row>
    <row r="2" spans="1:9" ht="14.5" x14ac:dyDescent="0.35">
      <c r="A2" s="89" t="s">
        <v>1481</v>
      </c>
      <c r="B2" s="90">
        <v>5</v>
      </c>
      <c r="C2" s="96"/>
      <c r="D2" s="97" t="s">
        <v>1486</v>
      </c>
      <c r="E2" s="94">
        <v>318</v>
      </c>
      <c r="F2" s="94">
        <v>7073</v>
      </c>
      <c r="G2" s="94">
        <v>3861</v>
      </c>
      <c r="H2" s="94">
        <v>46668</v>
      </c>
      <c r="I2" s="99">
        <f t="shared" ref="I2:I10" si="0">SUM(E2:H2)</f>
        <v>57920</v>
      </c>
    </row>
    <row r="3" spans="1:9" ht="14.5" x14ac:dyDescent="0.35">
      <c r="A3" s="89" t="s">
        <v>1476</v>
      </c>
      <c r="B3" s="90">
        <v>17</v>
      </c>
      <c r="C3" s="96"/>
      <c r="D3" s="97" t="s">
        <v>1487</v>
      </c>
      <c r="E3" s="94">
        <v>62</v>
      </c>
      <c r="F3" s="94">
        <v>19932</v>
      </c>
      <c r="G3" s="94">
        <v>1524</v>
      </c>
      <c r="H3" s="94">
        <v>28288</v>
      </c>
      <c r="I3" s="99">
        <f t="shared" si="0"/>
        <v>49806</v>
      </c>
    </row>
    <row r="4" spans="1:9" ht="14.5" customHeight="1" x14ac:dyDescent="0.35">
      <c r="A4" s="89" t="s">
        <v>1477</v>
      </c>
      <c r="B4" s="90">
        <v>4017</v>
      </c>
      <c r="C4" s="96"/>
      <c r="D4" s="97" t="s">
        <v>1474</v>
      </c>
      <c r="E4" s="94">
        <v>185</v>
      </c>
      <c r="F4" s="94">
        <v>2700</v>
      </c>
      <c r="G4" s="94">
        <v>1031</v>
      </c>
      <c r="H4" s="94">
        <v>4318</v>
      </c>
      <c r="I4" s="99">
        <f t="shared" si="0"/>
        <v>8234</v>
      </c>
    </row>
    <row r="5" spans="1:9" ht="14.5" x14ac:dyDescent="0.35">
      <c r="A5" s="89" t="s">
        <v>1474</v>
      </c>
      <c r="B5" s="90">
        <v>225</v>
      </c>
      <c r="C5" s="96"/>
      <c r="D5" s="97" t="s">
        <v>1488</v>
      </c>
      <c r="E5" s="94">
        <v>0</v>
      </c>
      <c r="F5" s="94">
        <v>3460</v>
      </c>
      <c r="G5" s="94">
        <v>22</v>
      </c>
      <c r="H5" s="94">
        <v>1118</v>
      </c>
      <c r="I5" s="99">
        <f t="shared" si="0"/>
        <v>4600</v>
      </c>
    </row>
    <row r="6" spans="1:9" ht="14.5" x14ac:dyDescent="0.35">
      <c r="A6" s="89" t="s">
        <v>1478</v>
      </c>
      <c r="B6" s="90">
        <v>0</v>
      </c>
      <c r="C6" s="96"/>
      <c r="D6" s="97" t="s">
        <v>1484</v>
      </c>
      <c r="E6" s="94">
        <v>32</v>
      </c>
      <c r="F6" s="94">
        <v>58</v>
      </c>
      <c r="G6" s="94">
        <v>997</v>
      </c>
      <c r="H6" s="94">
        <v>4386</v>
      </c>
      <c r="I6" s="99">
        <f t="shared" si="0"/>
        <v>5473</v>
      </c>
    </row>
    <row r="7" spans="1:9" ht="14.5" x14ac:dyDescent="0.35">
      <c r="A7" s="89" t="s">
        <v>1482</v>
      </c>
      <c r="B7" s="90">
        <v>154</v>
      </c>
      <c r="C7" s="96"/>
      <c r="D7" s="97" t="s">
        <v>2062</v>
      </c>
      <c r="E7" s="94">
        <v>39</v>
      </c>
      <c r="F7" s="94">
        <v>71</v>
      </c>
      <c r="G7" s="94">
        <v>114</v>
      </c>
      <c r="H7" s="94">
        <v>271</v>
      </c>
      <c r="I7" s="99">
        <f t="shared" si="0"/>
        <v>495</v>
      </c>
    </row>
    <row r="8" spans="1:9" ht="14.5" x14ac:dyDescent="0.35">
      <c r="A8" s="89" t="s">
        <v>1483</v>
      </c>
      <c r="B8" s="90">
        <v>705</v>
      </c>
      <c r="C8" s="96"/>
      <c r="D8" s="97" t="s">
        <v>1482</v>
      </c>
      <c r="E8" s="94">
        <v>27</v>
      </c>
      <c r="F8" s="94">
        <v>169</v>
      </c>
      <c r="G8" s="94">
        <v>96</v>
      </c>
      <c r="H8" s="94">
        <v>927</v>
      </c>
      <c r="I8" s="99">
        <f t="shared" si="0"/>
        <v>1219</v>
      </c>
    </row>
    <row r="9" spans="1:9" ht="14.5" x14ac:dyDescent="0.35">
      <c r="A9" s="89" t="s">
        <v>1475</v>
      </c>
      <c r="B9" s="90">
        <v>36</v>
      </c>
      <c r="C9" s="96"/>
      <c r="D9" s="97" t="s">
        <v>1483</v>
      </c>
      <c r="E9" s="94">
        <v>137</v>
      </c>
      <c r="F9" s="94">
        <v>5214</v>
      </c>
      <c r="G9" s="94">
        <v>978</v>
      </c>
      <c r="H9" s="94">
        <v>10311</v>
      </c>
      <c r="I9" s="99">
        <f t="shared" si="0"/>
        <v>16640</v>
      </c>
    </row>
    <row r="10" spans="1:9" ht="14.5" x14ac:dyDescent="0.35">
      <c r="A10" s="89" t="s">
        <v>1480</v>
      </c>
      <c r="B10" s="90">
        <v>0</v>
      </c>
      <c r="C10" s="96"/>
      <c r="D10" s="97" t="s">
        <v>1480</v>
      </c>
      <c r="E10" s="94">
        <v>0</v>
      </c>
      <c r="F10" s="94">
        <v>0</v>
      </c>
      <c r="G10" s="94">
        <v>0</v>
      </c>
      <c r="H10" s="94">
        <v>14</v>
      </c>
      <c r="I10" s="99">
        <f t="shared" si="0"/>
        <v>14</v>
      </c>
    </row>
    <row r="11" spans="1:9" ht="14.5" x14ac:dyDescent="0.35">
      <c r="A11" s="89" t="s">
        <v>1484</v>
      </c>
      <c r="B11" s="90">
        <v>39</v>
      </c>
      <c r="C11" s="96"/>
      <c r="D11" s="97" t="s">
        <v>1478</v>
      </c>
      <c r="E11" s="94">
        <v>0</v>
      </c>
      <c r="F11" s="94">
        <v>0</v>
      </c>
      <c r="G11" s="94">
        <v>0</v>
      </c>
      <c r="H11" s="94">
        <v>0</v>
      </c>
      <c r="I11" s="99">
        <f t="shared" ref="I11" si="1">SUM(E11:H11)</f>
        <v>0</v>
      </c>
    </row>
    <row r="12" spans="1:9" ht="15" thickBot="1" x14ac:dyDescent="0.4">
      <c r="A12" s="91" t="s">
        <v>1479</v>
      </c>
      <c r="B12" s="92">
        <v>1014</v>
      </c>
      <c r="C12" s="96"/>
      <c r="D12" s="98" t="s">
        <v>1489</v>
      </c>
      <c r="E12" s="95">
        <v>0</v>
      </c>
      <c r="F12" s="95">
        <v>510</v>
      </c>
      <c r="G12" s="95">
        <v>206</v>
      </c>
      <c r="H12" s="95">
        <v>7627</v>
      </c>
      <c r="I12" s="100">
        <f>SUM(E12:H12)</f>
        <v>8343</v>
      </c>
    </row>
    <row r="13" spans="1:9" ht="13" thickBot="1" x14ac:dyDescent="0.3"/>
    <row r="14" spans="1:9" ht="43.5" x14ac:dyDescent="0.35">
      <c r="A14" s="103" t="s">
        <v>1490</v>
      </c>
      <c r="B14" s="105" t="s">
        <v>1495</v>
      </c>
    </row>
    <row r="15" spans="1:9" ht="14.5" x14ac:dyDescent="0.35">
      <c r="A15" s="93" t="s">
        <v>1492</v>
      </c>
      <c r="B15" s="99">
        <f>B4+I2</f>
        <v>61937</v>
      </c>
      <c r="C15" s="104"/>
    </row>
    <row r="16" spans="1:9" ht="14.5" x14ac:dyDescent="0.35">
      <c r="A16" s="93" t="s">
        <v>1474</v>
      </c>
      <c r="B16" s="99">
        <f>B5+I4</f>
        <v>8459</v>
      </c>
      <c r="C16" s="104"/>
    </row>
    <row r="17" spans="1:3" ht="14.5" x14ac:dyDescent="0.35">
      <c r="A17" s="93" t="s">
        <v>1491</v>
      </c>
      <c r="B17" s="99">
        <f>I3+I6+I8+I9+B7+B8+B11+B12</f>
        <v>75050</v>
      </c>
      <c r="C17" s="104"/>
    </row>
    <row r="18" spans="1:3" ht="14.5" x14ac:dyDescent="0.35">
      <c r="A18" s="93" t="s">
        <v>1493</v>
      </c>
      <c r="B18" s="99">
        <f>I5+B2</f>
        <v>4605</v>
      </c>
      <c r="C18" s="104"/>
    </row>
    <row r="19" spans="1:3" ht="14.5" x14ac:dyDescent="0.35">
      <c r="A19" s="93" t="s">
        <v>1494</v>
      </c>
      <c r="B19" s="99">
        <f>I7+I10+I11+I12+B3+B6+B9+B10</f>
        <v>8905</v>
      </c>
      <c r="C19" s="104"/>
    </row>
    <row r="20" spans="1:3" ht="15" thickBot="1" x14ac:dyDescent="0.4">
      <c r="A20" s="106" t="s">
        <v>1496</v>
      </c>
      <c r="B20" s="107">
        <f>SUM(B15:B19)</f>
        <v>158956</v>
      </c>
      <c r="C20" s="10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PreK Proxy - Sept. 2024</vt:lpstr>
      <vt:lpstr>2023-24 PreK Served</vt:lpstr>
      <vt:lpstr>PreK Regions 2023-24</vt:lpstr>
      <vt:lpstr>PreK Served by Provider Type</vt:lpstr>
    </vt:vector>
  </TitlesOfParts>
  <Company>NYSED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2023-24 Prekindergarten Students Served</dc:title>
  <dc:subject>2023-24 Prekindergarten Students Served</dc:subject>
  <dc:creator>New York State Education Department</dc:creator>
  <cp:keywords>New York State, Prekindergarten, Early Learning, Universal, Students</cp:keywords>
  <cp:lastModifiedBy>Jason Gish</cp:lastModifiedBy>
  <cp:lastPrinted>2018-09-17T18:29:29Z</cp:lastPrinted>
  <dcterms:created xsi:type="dcterms:W3CDTF">2016-10-03T13:50:55Z</dcterms:created>
  <dcterms:modified xsi:type="dcterms:W3CDTF">2024-11-07T12:52:53Z</dcterms:modified>
</cp:coreProperties>
</file>